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Реп2" sheetId="10" r:id="rId1"/>
    <sheet name="Нации" sheetId="5" r:id="rId2"/>
    <sheet name="Армии" sheetId="2" r:id="rId3"/>
    <sheet name="Города" sheetId="4" r:id="rId4"/>
    <sheet name="Наука" sheetId="3" r:id="rId5"/>
    <sheet name="Чудеса" sheetId="8" r:id="rId6"/>
    <sheet name="База" sheetId="6" r:id="rId7"/>
    <sheet name="Лист1" sheetId="9" r:id="rId8"/>
    <sheet name="Лист2" sheetId="11" state="hidden" r:id="rId9"/>
  </sheets>
  <definedNames>
    <definedName name="_xlnm._FilterDatabase" localSheetId="3" hidden="1">Города!$A$3:$AP$54</definedName>
    <definedName name="Имя">#REF!</definedName>
    <definedName name="Нации">Нации!$B$3:$B$10</definedName>
    <definedName name="ФормыП">База!$B$30:$B$38</definedName>
  </definedNames>
  <calcPr calcId="145621"/>
</workbook>
</file>

<file path=xl/calcChain.xml><?xml version="1.0" encoding="utf-8"?>
<calcChain xmlns="http://schemas.openxmlformats.org/spreadsheetml/2006/main">
  <c r="D38" i="9" l="1"/>
  <c r="H29" i="9"/>
  <c r="N10" i="9"/>
  <c r="N9" i="9"/>
  <c r="N8" i="9"/>
  <c r="N7" i="9"/>
  <c r="N6" i="9"/>
  <c r="N5" i="9"/>
  <c r="N4" i="9"/>
  <c r="N3" i="9"/>
  <c r="C47" i="9" l="1"/>
  <c r="C45" i="9"/>
  <c r="C44" i="9"/>
  <c r="K14" i="4" l="1"/>
  <c r="K4" i="4"/>
  <c r="K16" i="4"/>
  <c r="N131" i="3" l="1"/>
  <c r="G41" i="9" l="1"/>
  <c r="G42" i="9" s="1"/>
  <c r="G43" i="9" s="1"/>
  <c r="G44" i="9" s="1"/>
  <c r="G45" i="9" s="1"/>
  <c r="G46" i="9" s="1"/>
  <c r="G47" i="9" s="1"/>
  <c r="L36" i="9" l="1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F38" i="9" l="1"/>
  <c r="H18" i="9"/>
  <c r="H20" i="9"/>
  <c r="H21" i="9"/>
  <c r="H22" i="9"/>
  <c r="H23" i="9"/>
  <c r="H24" i="9"/>
  <c r="H25" i="9"/>
  <c r="H26" i="9"/>
  <c r="H27" i="9"/>
  <c r="H28" i="9"/>
  <c r="H30" i="9"/>
  <c r="H31" i="9"/>
  <c r="H32" i="9"/>
  <c r="H33" i="9"/>
  <c r="H34" i="9"/>
  <c r="H35" i="9"/>
  <c r="H36" i="9"/>
  <c r="H19" i="9"/>
  <c r="D19" i="9"/>
  <c r="D20" i="9" s="1"/>
  <c r="F36" i="9"/>
  <c r="F35" i="9" s="1"/>
  <c r="F34" i="9" s="1"/>
  <c r="F33" i="9" s="1"/>
  <c r="F32" i="9" s="1"/>
  <c r="F31" i="9" s="1"/>
  <c r="F30" i="9" s="1"/>
  <c r="F29" i="9" s="1"/>
  <c r="F28" i="9" s="1"/>
  <c r="F27" i="9" s="1"/>
  <c r="F26" i="9" s="1"/>
  <c r="F25" i="9" s="1"/>
  <c r="F24" i="9" s="1"/>
  <c r="F23" i="9" s="1"/>
  <c r="F22" i="9" s="1"/>
  <c r="F21" i="9" s="1"/>
  <c r="F20" i="9" s="1"/>
  <c r="F19" i="9" s="1"/>
  <c r="F18" i="9" s="1"/>
  <c r="E37" i="9"/>
  <c r="C19" i="9" l="1"/>
  <c r="C18" i="9"/>
  <c r="D21" i="9"/>
  <c r="E36" i="9"/>
  <c r="E35" i="9" s="1"/>
  <c r="E34" i="9" s="1"/>
  <c r="E33" i="9" s="1"/>
  <c r="E32" i="9" s="1"/>
  <c r="E31" i="9" s="1"/>
  <c r="E30" i="9" s="1"/>
  <c r="E29" i="9" s="1"/>
  <c r="E28" i="9" s="1"/>
  <c r="E27" i="9" s="1"/>
  <c r="E26" i="9" s="1"/>
  <c r="E25" i="9" s="1"/>
  <c r="E24" i="9" s="1"/>
  <c r="E23" i="9" s="1"/>
  <c r="E22" i="9" s="1"/>
  <c r="E21" i="9" s="1"/>
  <c r="E20" i="9" s="1"/>
  <c r="E19" i="9" s="1"/>
  <c r="E18" i="9" s="1"/>
  <c r="E17" i="9" s="1"/>
  <c r="C20" i="9" l="1"/>
  <c r="D22" i="9"/>
  <c r="K15" i="4"/>
  <c r="C21" i="9" l="1"/>
  <c r="D23" i="9"/>
  <c r="D24" i="9" l="1"/>
  <c r="C23" i="9"/>
  <c r="C22" i="9"/>
  <c r="D25" i="9"/>
  <c r="AO9" i="5"/>
  <c r="AO8" i="5"/>
  <c r="AO7" i="5"/>
  <c r="AO6" i="5"/>
  <c r="AO5" i="5"/>
  <c r="AO4" i="5"/>
  <c r="AO3" i="5"/>
  <c r="K31" i="4"/>
  <c r="C24" i="9" l="1"/>
  <c r="D26" i="9"/>
  <c r="N133" i="3"/>
  <c r="N134" i="3"/>
  <c r="C25" i="9" l="1"/>
  <c r="D27" i="9"/>
  <c r="C26" i="9" s="1"/>
  <c r="D28" i="9" l="1"/>
  <c r="N132" i="3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4" i="4"/>
  <c r="N5" i="4"/>
  <c r="C27" i="9" l="1"/>
  <c r="D29" i="9"/>
  <c r="O57" i="3"/>
  <c r="J57" i="3" s="1"/>
  <c r="C28" i="9" l="1"/>
  <c r="D30" i="9"/>
  <c r="E57" i="3"/>
  <c r="G57" i="3"/>
  <c r="I57" i="3"/>
  <c r="D57" i="3"/>
  <c r="F57" i="3"/>
  <c r="H57" i="3"/>
  <c r="N69" i="3"/>
  <c r="C29" i="9" l="1"/>
  <c r="D31" i="9"/>
  <c r="C16" i="11"/>
  <c r="C15" i="11"/>
  <c r="C14" i="11"/>
  <c r="C13" i="11"/>
  <c r="C12" i="11"/>
  <c r="C11" i="11"/>
  <c r="C10" i="11"/>
  <c r="C9" i="11"/>
  <c r="C8" i="11"/>
  <c r="C7" i="11"/>
  <c r="C5" i="11"/>
  <c r="C4" i="11"/>
  <c r="C30" i="9" l="1"/>
  <c r="D32" i="9"/>
  <c r="C18" i="11"/>
  <c r="C28" i="11"/>
  <c r="C29" i="11" s="1"/>
  <c r="C30" i="11" s="1"/>
  <c r="C24" i="11"/>
  <c r="C31" i="9" l="1"/>
  <c r="D33" i="9"/>
  <c r="C20" i="11"/>
  <c r="C31" i="11" s="1"/>
  <c r="C21" i="11"/>
  <c r="H21" i="10"/>
  <c r="H35" i="10"/>
  <c r="H49" i="10"/>
  <c r="H63" i="10"/>
  <c r="H77" i="10"/>
  <c r="H91" i="10"/>
  <c r="H105" i="10"/>
  <c r="AP53" i="4"/>
  <c r="AP52" i="4"/>
  <c r="AP51" i="4"/>
  <c r="AP50" i="4"/>
  <c r="AP49" i="4"/>
  <c r="AP48" i="4"/>
  <c r="AP47" i="4"/>
  <c r="AP46" i="4"/>
  <c r="AP45" i="4"/>
  <c r="AP44" i="4"/>
  <c r="AP43" i="4"/>
  <c r="AP42" i="4"/>
  <c r="AP41" i="4"/>
  <c r="AP40" i="4"/>
  <c r="AP39" i="4"/>
  <c r="AP38" i="4"/>
  <c r="AP37" i="4"/>
  <c r="AP36" i="4"/>
  <c r="AP35" i="4"/>
  <c r="AP34" i="4"/>
  <c r="AP33" i="4"/>
  <c r="AP32" i="4"/>
  <c r="AP31" i="4"/>
  <c r="C12" i="8" s="1"/>
  <c r="AP30" i="4"/>
  <c r="C14" i="8" s="1"/>
  <c r="AP29" i="4"/>
  <c r="AP28" i="4"/>
  <c r="AP27" i="4"/>
  <c r="C18" i="8" s="1"/>
  <c r="AP26" i="4"/>
  <c r="AP25" i="4"/>
  <c r="AP24" i="4"/>
  <c r="C17" i="8" s="1"/>
  <c r="AP23" i="4"/>
  <c r="C9" i="8" s="1"/>
  <c r="AP22" i="4"/>
  <c r="AP21" i="4"/>
  <c r="AP20" i="4"/>
  <c r="AP19" i="4"/>
  <c r="AP18" i="4"/>
  <c r="AP17" i="4"/>
  <c r="AP16" i="4"/>
  <c r="C21" i="8" s="1"/>
  <c r="AP15" i="4"/>
  <c r="C20" i="8" s="1"/>
  <c r="AP14" i="4"/>
  <c r="C23" i="8" s="1"/>
  <c r="AP13" i="4"/>
  <c r="AP12" i="4"/>
  <c r="AP11" i="4"/>
  <c r="AP10" i="4"/>
  <c r="AP9" i="4"/>
  <c r="AP8" i="4"/>
  <c r="C19" i="8" s="1"/>
  <c r="AP7" i="4"/>
  <c r="AP6" i="4"/>
  <c r="AP5" i="4"/>
  <c r="AP4" i="4"/>
  <c r="C22" i="8" s="1"/>
  <c r="F56" i="6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4" i="4"/>
  <c r="L4" i="4"/>
  <c r="H3" i="10"/>
  <c r="A122" i="10"/>
  <c r="H119" i="10"/>
  <c r="C115" i="10"/>
  <c r="C113" i="10"/>
  <c r="D113" i="10" s="1"/>
  <c r="A108" i="10"/>
  <c r="C101" i="10"/>
  <c r="C99" i="10"/>
  <c r="D99" i="10" s="1"/>
  <c r="A94" i="10"/>
  <c r="C87" i="10"/>
  <c r="C85" i="10"/>
  <c r="D85" i="10" s="1"/>
  <c r="A80" i="10"/>
  <c r="C73" i="10"/>
  <c r="C71" i="10"/>
  <c r="D71" i="10" s="1"/>
  <c r="A66" i="10"/>
  <c r="C59" i="10"/>
  <c r="C57" i="10"/>
  <c r="D57" i="10" s="1"/>
  <c r="A52" i="10"/>
  <c r="C45" i="10"/>
  <c r="C43" i="10"/>
  <c r="D43" i="10" s="1"/>
  <c r="A38" i="10"/>
  <c r="C31" i="10"/>
  <c r="C29" i="10"/>
  <c r="D29" i="10" s="1"/>
  <c r="C15" i="10"/>
  <c r="D15" i="10" s="1"/>
  <c r="C17" i="10"/>
  <c r="C16" i="8" l="1"/>
  <c r="C10" i="8"/>
  <c r="C8" i="8"/>
  <c r="C6" i="8"/>
  <c r="C4" i="8"/>
  <c r="C2" i="8"/>
  <c r="C15" i="8"/>
  <c r="C13" i="8"/>
  <c r="C11" i="8"/>
  <c r="C7" i="8"/>
  <c r="C5" i="8"/>
  <c r="C3" i="8"/>
  <c r="C32" i="9"/>
  <c r="D34" i="9"/>
  <c r="E21" i="11"/>
  <c r="C22" i="11" s="1"/>
  <c r="D6" i="8"/>
  <c r="D5" i="8"/>
  <c r="E6" i="8"/>
  <c r="E5" i="8"/>
  <c r="A24" i="10"/>
  <c r="A110" i="10"/>
  <c r="H113" i="10" s="1"/>
  <c r="A96" i="10"/>
  <c r="H99" i="10" s="1"/>
  <c r="A82" i="10"/>
  <c r="H85" i="10" s="1"/>
  <c r="A68" i="10"/>
  <c r="H71" i="10" s="1"/>
  <c r="A54" i="10"/>
  <c r="H57" i="10" s="1"/>
  <c r="A40" i="10"/>
  <c r="H43" i="10" s="1"/>
  <c r="A26" i="10"/>
  <c r="H29" i="10" s="1"/>
  <c r="C33" i="9" l="1"/>
  <c r="D35" i="9"/>
  <c r="A50" i="10"/>
  <c r="A41" i="10"/>
  <c r="F41" i="10" s="1"/>
  <c r="H41" i="10" s="1"/>
  <c r="A78" i="10"/>
  <c r="A69" i="10"/>
  <c r="F69" i="10" s="1"/>
  <c r="H69" i="10" s="1"/>
  <c r="A106" i="10"/>
  <c r="A97" i="10"/>
  <c r="F97" i="10" s="1"/>
  <c r="H97" i="10" s="1"/>
  <c r="A36" i="10"/>
  <c r="A27" i="10"/>
  <c r="F27" i="10" s="1"/>
  <c r="H27" i="10" s="1"/>
  <c r="A64" i="10"/>
  <c r="A55" i="10"/>
  <c r="A92" i="10"/>
  <c r="A83" i="10"/>
  <c r="A120" i="10"/>
  <c r="A111" i="10"/>
  <c r="F111" i="10" s="1"/>
  <c r="H111" i="10" s="1"/>
  <c r="E101" i="3"/>
  <c r="F101" i="3" s="1"/>
  <c r="G101" i="3" s="1"/>
  <c r="H101" i="3" s="1"/>
  <c r="I101" i="3" s="1"/>
  <c r="J101" i="3" s="1"/>
  <c r="K101" i="3" s="1"/>
  <c r="P29" i="6"/>
  <c r="A12" i="10"/>
  <c r="H15" i="10" s="1"/>
  <c r="N164" i="3"/>
  <c r="N115" i="3"/>
  <c r="K115" i="3" s="1"/>
  <c r="N141" i="3"/>
  <c r="J141" i="3" s="1"/>
  <c r="N130" i="3"/>
  <c r="B137" i="3"/>
  <c r="B123" i="3"/>
  <c r="N114" i="3"/>
  <c r="K114" i="3" s="1"/>
  <c r="N116" i="3"/>
  <c r="K116" i="3" s="1"/>
  <c r="N152" i="3"/>
  <c r="N148" i="3" s="1"/>
  <c r="N149" i="3" s="1"/>
  <c r="N151" i="3"/>
  <c r="N165" i="3"/>
  <c r="J165" i="3" s="1"/>
  <c r="B113" i="3"/>
  <c r="B131" i="3"/>
  <c r="B145" i="3" s="1"/>
  <c r="B155" i="3" s="1"/>
  <c r="B165" i="3" s="1"/>
  <c r="B175" i="3" s="1"/>
  <c r="B130" i="3"/>
  <c r="B144" i="3" s="1"/>
  <c r="B154" i="3" s="1"/>
  <c r="B164" i="3" s="1"/>
  <c r="B174" i="3" s="1"/>
  <c r="B129" i="3"/>
  <c r="B143" i="3" s="1"/>
  <c r="B153" i="3" s="1"/>
  <c r="B163" i="3" s="1"/>
  <c r="B173" i="3" s="1"/>
  <c r="B128" i="3"/>
  <c r="B142" i="3" s="1"/>
  <c r="B152" i="3" s="1"/>
  <c r="B162" i="3" s="1"/>
  <c r="B172" i="3" s="1"/>
  <c r="B127" i="3"/>
  <c r="B141" i="3" s="1"/>
  <c r="B151" i="3" s="1"/>
  <c r="B161" i="3" s="1"/>
  <c r="B171" i="3" s="1"/>
  <c r="B126" i="3"/>
  <c r="B140" i="3" s="1"/>
  <c r="B150" i="3" s="1"/>
  <c r="B160" i="3" s="1"/>
  <c r="B170" i="3" s="1"/>
  <c r="B125" i="3"/>
  <c r="B139" i="3" s="1"/>
  <c r="B149" i="3" s="1"/>
  <c r="B159" i="3" s="1"/>
  <c r="B169" i="3" s="1"/>
  <c r="B124" i="3"/>
  <c r="B138" i="3" s="1"/>
  <c r="B148" i="3" s="1"/>
  <c r="B158" i="3" s="1"/>
  <c r="B168" i="3" s="1"/>
  <c r="U2" i="3"/>
  <c r="U3" i="3" s="1"/>
  <c r="T2" i="3"/>
  <c r="T3" i="3" s="1"/>
  <c r="S2" i="3"/>
  <c r="S3" i="3" s="1"/>
  <c r="R2" i="3"/>
  <c r="R3" i="3" s="1"/>
  <c r="Q2" i="3"/>
  <c r="Q3" i="3" s="1"/>
  <c r="P2" i="3"/>
  <c r="P3" i="3" s="1"/>
  <c r="O2" i="3"/>
  <c r="O3" i="3" s="1"/>
  <c r="N2" i="3"/>
  <c r="N3" i="3" s="1"/>
  <c r="C34" i="9" l="1"/>
  <c r="D36" i="9"/>
  <c r="J151" i="3"/>
  <c r="N150" i="3"/>
  <c r="J152" i="3"/>
  <c r="H152" i="3"/>
  <c r="F152" i="3"/>
  <c r="D152" i="3"/>
  <c r="J164" i="3"/>
  <c r="H164" i="3"/>
  <c r="F164" i="3"/>
  <c r="D164" i="3"/>
  <c r="D115" i="3"/>
  <c r="F115" i="3"/>
  <c r="H115" i="3"/>
  <c r="J115" i="3"/>
  <c r="G152" i="3"/>
  <c r="K152" i="3"/>
  <c r="G164" i="3"/>
  <c r="K164" i="3"/>
  <c r="N117" i="3"/>
  <c r="E115" i="3"/>
  <c r="G115" i="3"/>
  <c r="I115" i="3"/>
  <c r="E152" i="3"/>
  <c r="I152" i="3"/>
  <c r="E164" i="3"/>
  <c r="I164" i="3"/>
  <c r="A84" i="10"/>
  <c r="C86" i="10"/>
  <c r="D86" i="10" s="1"/>
  <c r="D87" i="10" s="1"/>
  <c r="A28" i="10"/>
  <c r="C30" i="10"/>
  <c r="D30" i="10" s="1"/>
  <c r="D31" i="10" s="1"/>
  <c r="A70" i="10"/>
  <c r="C72" i="10"/>
  <c r="D72" i="10" s="1"/>
  <c r="D73" i="10" s="1"/>
  <c r="A112" i="10"/>
  <c r="C114" i="10"/>
  <c r="D114" i="10" s="1"/>
  <c r="D115" i="10" s="1"/>
  <c r="A56" i="10"/>
  <c r="C58" i="10"/>
  <c r="D58" i="10" s="1"/>
  <c r="D59" i="10" s="1"/>
  <c r="F83" i="10"/>
  <c r="H83" i="10" s="1"/>
  <c r="A98" i="10"/>
  <c r="C100" i="10"/>
  <c r="D100" i="10" s="1"/>
  <c r="D101" i="10" s="1"/>
  <c r="A42" i="10"/>
  <c r="C44" i="10"/>
  <c r="D44" i="10" s="1"/>
  <c r="D45" i="10" s="1"/>
  <c r="F55" i="10"/>
  <c r="H55" i="10" s="1"/>
  <c r="A22" i="10"/>
  <c r="A13" i="10"/>
  <c r="D114" i="3"/>
  <c r="F114" i="3"/>
  <c r="H114" i="3"/>
  <c r="J114" i="3"/>
  <c r="D116" i="3"/>
  <c r="F116" i="3"/>
  <c r="H116" i="3"/>
  <c r="J116" i="3"/>
  <c r="E141" i="3"/>
  <c r="G141" i="3"/>
  <c r="I141" i="3"/>
  <c r="K141" i="3"/>
  <c r="E151" i="3"/>
  <c r="G151" i="3"/>
  <c r="I151" i="3"/>
  <c r="K151" i="3"/>
  <c r="E165" i="3"/>
  <c r="G165" i="3"/>
  <c r="I165" i="3"/>
  <c r="K165" i="3"/>
  <c r="E114" i="3"/>
  <c r="G114" i="3"/>
  <c r="I114" i="3"/>
  <c r="E116" i="3"/>
  <c r="G116" i="3"/>
  <c r="I116" i="3"/>
  <c r="D141" i="3"/>
  <c r="F141" i="3"/>
  <c r="H141" i="3"/>
  <c r="D151" i="3"/>
  <c r="F151" i="3"/>
  <c r="H151" i="3"/>
  <c r="D165" i="3"/>
  <c r="F165" i="3"/>
  <c r="H165" i="3"/>
  <c r="N153" i="3"/>
  <c r="P1" i="4"/>
  <c r="Q1" i="4" s="1"/>
  <c r="R1" i="4" s="1"/>
  <c r="S1" i="4" s="1"/>
  <c r="P2" i="4"/>
  <c r="AD65" i="2"/>
  <c r="AD63" i="2" s="1"/>
  <c r="Z65" i="2"/>
  <c r="Z63" i="2" s="1"/>
  <c r="V65" i="2"/>
  <c r="V63" i="2" s="1"/>
  <c r="R65" i="2"/>
  <c r="R63" i="2" s="1"/>
  <c r="N65" i="2"/>
  <c r="N63" i="2" s="1"/>
  <c r="J65" i="2"/>
  <c r="J63" i="2" s="1"/>
  <c r="F65" i="2"/>
  <c r="B65" i="2"/>
  <c r="B63" i="2" s="1"/>
  <c r="BP53" i="2"/>
  <c r="BQ53" i="2" s="1"/>
  <c r="BO53" i="2"/>
  <c r="BL53" i="2"/>
  <c r="BM53" i="2" s="1"/>
  <c r="BK53" i="2"/>
  <c r="BH53" i="2"/>
  <c r="BI53" i="2" s="1"/>
  <c r="BG53" i="2"/>
  <c r="BD53" i="2"/>
  <c r="BE53" i="2" s="1"/>
  <c r="BC53" i="2"/>
  <c r="AZ53" i="2"/>
  <c r="BA53" i="2" s="1"/>
  <c r="AY53" i="2"/>
  <c r="AY52" i="2" s="1"/>
  <c r="AY51" i="2" s="1"/>
  <c r="AY50" i="2" s="1"/>
  <c r="AY49" i="2" s="1"/>
  <c r="AY48" i="2" s="1"/>
  <c r="AY47" i="2" s="1"/>
  <c r="AY46" i="2" s="1"/>
  <c r="AY45" i="2" s="1"/>
  <c r="AY44" i="2" s="1"/>
  <c r="AY43" i="2" s="1"/>
  <c r="AV53" i="2"/>
  <c r="AW53" i="2" s="1"/>
  <c r="AU53" i="2"/>
  <c r="AU52" i="2" s="1"/>
  <c r="AU51" i="2" s="1"/>
  <c r="AU50" i="2" s="1"/>
  <c r="AU49" i="2" s="1"/>
  <c r="AU48" i="2" s="1"/>
  <c r="AU47" i="2" s="1"/>
  <c r="AU46" i="2" s="1"/>
  <c r="AU45" i="2" s="1"/>
  <c r="AU44" i="2" s="1"/>
  <c r="AU43" i="2" s="1"/>
  <c r="AU42" i="2" s="1"/>
  <c r="AU41" i="2" s="1"/>
  <c r="AU40" i="2" s="1"/>
  <c r="AU39" i="2" s="1"/>
  <c r="AU38" i="2" s="1"/>
  <c r="AU37" i="2" s="1"/>
  <c r="AU36" i="2" s="1"/>
  <c r="AU35" i="2" s="1"/>
  <c r="AU34" i="2" s="1"/>
  <c r="AU33" i="2" s="1"/>
  <c r="AU32" i="2" s="1"/>
  <c r="AU31" i="2" s="1"/>
  <c r="AU30" i="2" s="1"/>
  <c r="AR53" i="2"/>
  <c r="AS53" i="2" s="1"/>
  <c r="AQ53" i="2"/>
  <c r="AQ52" i="2" s="1"/>
  <c r="AQ51" i="2" s="1"/>
  <c r="AQ50" i="2" s="1"/>
  <c r="AQ49" i="2" s="1"/>
  <c r="AQ48" i="2" s="1"/>
  <c r="AQ47" i="2" s="1"/>
  <c r="AQ46" i="2" s="1"/>
  <c r="AQ45" i="2" s="1"/>
  <c r="AQ44" i="2" s="1"/>
  <c r="AQ43" i="2" s="1"/>
  <c r="AQ42" i="2" s="1"/>
  <c r="AQ41" i="2" s="1"/>
  <c r="AQ40" i="2" s="1"/>
  <c r="AN53" i="2"/>
  <c r="AO53" i="2" s="1"/>
  <c r="AM53" i="2"/>
  <c r="AM52" i="2" s="1"/>
  <c r="AM51" i="2" s="1"/>
  <c r="AM50" i="2" s="1"/>
  <c r="AM49" i="2" s="1"/>
  <c r="AM48" i="2" s="1"/>
  <c r="AM47" i="2" s="1"/>
  <c r="AM46" i="2" s="1"/>
  <c r="AM45" i="2" s="1"/>
  <c r="AM44" i="2" s="1"/>
  <c r="AM43" i="2" s="1"/>
  <c r="AM42" i="2" s="1"/>
  <c r="AM41" i="2" s="1"/>
  <c r="AM40" i="2" s="1"/>
  <c r="AM39" i="2" s="1"/>
  <c r="AM38" i="2" s="1"/>
  <c r="AM37" i="2" s="1"/>
  <c r="AM36" i="2" s="1"/>
  <c r="AM35" i="2" s="1"/>
  <c r="BP52" i="2"/>
  <c r="BQ52" i="2" s="1"/>
  <c r="BO52" i="2"/>
  <c r="BO51" i="2" s="1"/>
  <c r="BO50" i="2" s="1"/>
  <c r="BO49" i="2" s="1"/>
  <c r="BO48" i="2" s="1"/>
  <c r="BO47" i="2" s="1"/>
  <c r="BO46" i="2" s="1"/>
  <c r="BO45" i="2" s="1"/>
  <c r="BO44" i="2" s="1"/>
  <c r="BO43" i="2" s="1"/>
  <c r="BO42" i="2" s="1"/>
  <c r="BO41" i="2" s="1"/>
  <c r="BO40" i="2" s="1"/>
  <c r="BO39" i="2" s="1"/>
  <c r="BO38" i="2" s="1"/>
  <c r="BO37" i="2" s="1"/>
  <c r="BO36" i="2" s="1"/>
  <c r="BO35" i="2" s="1"/>
  <c r="BO34" i="2" s="1"/>
  <c r="BO33" i="2" s="1"/>
  <c r="BO32" i="2" s="1"/>
  <c r="BO31" i="2" s="1"/>
  <c r="BO30" i="2" s="1"/>
  <c r="BO29" i="2" s="1"/>
  <c r="BO28" i="2" s="1"/>
  <c r="BO27" i="2" s="1"/>
  <c r="BO26" i="2" s="1"/>
  <c r="BO25" i="2" s="1"/>
  <c r="BO24" i="2" s="1"/>
  <c r="BO23" i="2" s="1"/>
  <c r="BO22" i="2" s="1"/>
  <c r="BO21" i="2" s="1"/>
  <c r="BO20" i="2" s="1"/>
  <c r="BO19" i="2" s="1"/>
  <c r="BO18" i="2" s="1"/>
  <c r="BO17" i="2" s="1"/>
  <c r="BO16" i="2" s="1"/>
  <c r="BO15" i="2" s="1"/>
  <c r="BO14" i="2" s="1"/>
  <c r="BO13" i="2" s="1"/>
  <c r="BO12" i="2" s="1"/>
  <c r="BO11" i="2" s="1"/>
  <c r="BO10" i="2" s="1"/>
  <c r="BO9" i="2" s="1"/>
  <c r="BO8" i="2" s="1"/>
  <c r="BO7" i="2" s="1"/>
  <c r="BO6" i="2" s="1"/>
  <c r="BL52" i="2"/>
  <c r="BM52" i="2" s="1"/>
  <c r="BK52" i="2"/>
  <c r="BK51" i="2" s="1"/>
  <c r="BK50" i="2" s="1"/>
  <c r="BK49" i="2" s="1"/>
  <c r="BK48" i="2" s="1"/>
  <c r="BK47" i="2" s="1"/>
  <c r="BK46" i="2" s="1"/>
  <c r="BK45" i="2" s="1"/>
  <c r="BK44" i="2" s="1"/>
  <c r="BK43" i="2" s="1"/>
  <c r="BK42" i="2" s="1"/>
  <c r="BH52" i="2"/>
  <c r="BI52" i="2" s="1"/>
  <c r="BG52" i="2"/>
  <c r="BG51" i="2" s="1"/>
  <c r="BG50" i="2" s="1"/>
  <c r="BD52" i="2"/>
  <c r="BE52" i="2" s="1"/>
  <c r="AZ52" i="2"/>
  <c r="BA52" i="2" s="1"/>
  <c r="AV52" i="2"/>
  <c r="AW52" i="2" s="1"/>
  <c r="AR52" i="2"/>
  <c r="AS52" i="2" s="1"/>
  <c r="AN52" i="2"/>
  <c r="AO52" i="2" s="1"/>
  <c r="BP51" i="2"/>
  <c r="BQ51" i="2" s="1"/>
  <c r="BL51" i="2"/>
  <c r="BM51" i="2" s="1"/>
  <c r="BH51" i="2"/>
  <c r="BI51" i="2" s="1"/>
  <c r="BD51" i="2"/>
  <c r="BE51" i="2" s="1"/>
  <c r="AZ51" i="2"/>
  <c r="BA51" i="2" s="1"/>
  <c r="AV51" i="2"/>
  <c r="AW51" i="2" s="1"/>
  <c r="AR51" i="2"/>
  <c r="AS51" i="2" s="1"/>
  <c r="AN51" i="2"/>
  <c r="AO51" i="2" s="1"/>
  <c r="BP50" i="2"/>
  <c r="BQ50" i="2" s="1"/>
  <c r="BL50" i="2"/>
  <c r="BM50" i="2" s="1"/>
  <c r="BH50" i="2"/>
  <c r="BI50" i="2" s="1"/>
  <c r="BD50" i="2"/>
  <c r="BE50" i="2" s="1"/>
  <c r="AZ50" i="2"/>
  <c r="BA50" i="2" s="1"/>
  <c r="AV50" i="2"/>
  <c r="AW50" i="2" s="1"/>
  <c r="AR50" i="2"/>
  <c r="AS50" i="2" s="1"/>
  <c r="AN50" i="2"/>
  <c r="AO50" i="2" s="1"/>
  <c r="BP49" i="2"/>
  <c r="BQ49" i="2" s="1"/>
  <c r="BL49" i="2"/>
  <c r="BM49" i="2" s="1"/>
  <c r="BH49" i="2"/>
  <c r="BI49" i="2" s="1"/>
  <c r="BD49" i="2"/>
  <c r="BE49" i="2" s="1"/>
  <c r="AZ49" i="2"/>
  <c r="BA49" i="2" s="1"/>
  <c r="AV49" i="2"/>
  <c r="AW49" i="2" s="1"/>
  <c r="AR49" i="2"/>
  <c r="AS49" i="2" s="1"/>
  <c r="AN49" i="2"/>
  <c r="AO49" i="2" s="1"/>
  <c r="BP48" i="2"/>
  <c r="BQ48" i="2" s="1"/>
  <c r="BL48" i="2"/>
  <c r="BM48" i="2" s="1"/>
  <c r="BH48" i="2"/>
  <c r="BI48" i="2" s="1"/>
  <c r="BD48" i="2"/>
  <c r="BE48" i="2" s="1"/>
  <c r="AZ48" i="2"/>
  <c r="BA48" i="2" s="1"/>
  <c r="AV48" i="2"/>
  <c r="AW48" i="2" s="1"/>
  <c r="AR48" i="2"/>
  <c r="AS48" i="2" s="1"/>
  <c r="AN48" i="2"/>
  <c r="AO48" i="2" s="1"/>
  <c r="BP47" i="2"/>
  <c r="BQ47" i="2" s="1"/>
  <c r="BL47" i="2"/>
  <c r="BM47" i="2" s="1"/>
  <c r="BH47" i="2"/>
  <c r="BI47" i="2" s="1"/>
  <c r="AZ47" i="2"/>
  <c r="BA47" i="2" s="1"/>
  <c r="AV47" i="2"/>
  <c r="AW47" i="2" s="1"/>
  <c r="AR47" i="2"/>
  <c r="AS47" i="2" s="1"/>
  <c r="AN47" i="2"/>
  <c r="AO47" i="2" s="1"/>
  <c r="BP46" i="2"/>
  <c r="BQ46" i="2" s="1"/>
  <c r="BL46" i="2"/>
  <c r="BM46" i="2" s="1"/>
  <c r="BH46" i="2"/>
  <c r="BI46" i="2" s="1"/>
  <c r="AZ46" i="2"/>
  <c r="BA46" i="2" s="1"/>
  <c r="AV46" i="2"/>
  <c r="AW46" i="2" s="1"/>
  <c r="AR46" i="2"/>
  <c r="AS46" i="2" s="1"/>
  <c r="AN46" i="2"/>
  <c r="AO46" i="2" s="1"/>
  <c r="BP45" i="2"/>
  <c r="BQ45" i="2" s="1"/>
  <c r="BL45" i="2"/>
  <c r="BM45" i="2" s="1"/>
  <c r="BH45" i="2"/>
  <c r="BI45" i="2" s="1"/>
  <c r="AZ45" i="2"/>
  <c r="BA45" i="2" s="1"/>
  <c r="AV45" i="2"/>
  <c r="AW45" i="2" s="1"/>
  <c r="AR45" i="2"/>
  <c r="AS45" i="2" s="1"/>
  <c r="AN45" i="2"/>
  <c r="AO45" i="2" s="1"/>
  <c r="BP44" i="2"/>
  <c r="BQ44" i="2" s="1"/>
  <c r="BL44" i="2"/>
  <c r="BM44" i="2" s="1"/>
  <c r="AZ44" i="2"/>
  <c r="BA44" i="2" s="1"/>
  <c r="AV44" i="2"/>
  <c r="AW44" i="2" s="1"/>
  <c r="AR44" i="2"/>
  <c r="AS44" i="2" s="1"/>
  <c r="AN44" i="2"/>
  <c r="AO44" i="2" s="1"/>
  <c r="BP43" i="2"/>
  <c r="BQ43" i="2" s="1"/>
  <c r="BL43" i="2"/>
  <c r="BM43" i="2" s="1"/>
  <c r="AZ43" i="2"/>
  <c r="BA43" i="2" s="1"/>
  <c r="AV43" i="2"/>
  <c r="AW43" i="2" s="1"/>
  <c r="AR43" i="2"/>
  <c r="AS43" i="2" s="1"/>
  <c r="AN43" i="2"/>
  <c r="AO43" i="2" s="1"/>
  <c r="BP42" i="2"/>
  <c r="BQ42" i="2" s="1"/>
  <c r="BL42" i="2"/>
  <c r="BM42" i="2" s="1"/>
  <c r="AV42" i="2"/>
  <c r="AW42" i="2" s="1"/>
  <c r="AR42" i="2"/>
  <c r="AS42" i="2" s="1"/>
  <c r="AN42" i="2"/>
  <c r="AO42" i="2" s="1"/>
  <c r="BP41" i="2"/>
  <c r="BQ41" i="2" s="1"/>
  <c r="BL41" i="2"/>
  <c r="BM41" i="2" s="1"/>
  <c r="AV41" i="2"/>
  <c r="AW41" i="2" s="1"/>
  <c r="AR41" i="2"/>
  <c r="AS41" i="2" s="1"/>
  <c r="AN41" i="2"/>
  <c r="AO41" i="2" s="1"/>
  <c r="BP40" i="2"/>
  <c r="BQ40" i="2" s="1"/>
  <c r="BL40" i="2"/>
  <c r="BM40" i="2" s="1"/>
  <c r="AV40" i="2"/>
  <c r="AW40" i="2" s="1"/>
  <c r="AR40" i="2"/>
  <c r="AS40" i="2" s="1"/>
  <c r="AN40" i="2"/>
  <c r="AO40" i="2" s="1"/>
  <c r="BP39" i="2"/>
  <c r="BQ39" i="2" s="1"/>
  <c r="BL39" i="2"/>
  <c r="BM39" i="2" s="1"/>
  <c r="AV39" i="2"/>
  <c r="AW39" i="2" s="1"/>
  <c r="AR39" i="2"/>
  <c r="AS39" i="2" s="1"/>
  <c r="AN39" i="2"/>
  <c r="AO39" i="2" s="1"/>
  <c r="BP38" i="2"/>
  <c r="BQ38" i="2" s="1"/>
  <c r="BL38" i="2"/>
  <c r="BM38" i="2" s="1"/>
  <c r="AV38" i="2"/>
  <c r="AW38" i="2" s="1"/>
  <c r="AR38" i="2"/>
  <c r="AS38" i="2" s="1"/>
  <c r="AN38" i="2"/>
  <c r="AO38" i="2" s="1"/>
  <c r="BP37" i="2"/>
  <c r="BQ37" i="2" s="1"/>
  <c r="BL37" i="2"/>
  <c r="BM37" i="2" s="1"/>
  <c r="AV37" i="2"/>
  <c r="AW37" i="2" s="1"/>
  <c r="AR37" i="2"/>
  <c r="AS37" i="2" s="1"/>
  <c r="AN37" i="2"/>
  <c r="AO37" i="2" s="1"/>
  <c r="BP36" i="2"/>
  <c r="BQ36" i="2" s="1"/>
  <c r="BL36" i="2"/>
  <c r="BM36" i="2" s="1"/>
  <c r="AV36" i="2"/>
  <c r="AW36" i="2" s="1"/>
  <c r="AR36" i="2"/>
  <c r="AS36" i="2" s="1"/>
  <c r="AN36" i="2"/>
  <c r="AO36" i="2" s="1"/>
  <c r="BP35" i="2"/>
  <c r="BQ35" i="2" s="1"/>
  <c r="BL35" i="2"/>
  <c r="BM35" i="2" s="1"/>
  <c r="AV35" i="2"/>
  <c r="AW35" i="2" s="1"/>
  <c r="AR35" i="2"/>
  <c r="AS35" i="2" s="1"/>
  <c r="AN35" i="2"/>
  <c r="AO35" i="2" s="1"/>
  <c r="BP34" i="2"/>
  <c r="BQ34" i="2" s="1"/>
  <c r="BL34" i="2"/>
  <c r="BM34" i="2" s="1"/>
  <c r="AV34" i="2"/>
  <c r="AW34" i="2" s="1"/>
  <c r="AR34" i="2"/>
  <c r="AS34" i="2" s="1"/>
  <c r="AN34" i="2"/>
  <c r="AO34" i="2" s="1"/>
  <c r="BP33" i="2"/>
  <c r="BQ33" i="2" s="1"/>
  <c r="BL33" i="2"/>
  <c r="BM33" i="2" s="1"/>
  <c r="AV33" i="2"/>
  <c r="AW33" i="2" s="1"/>
  <c r="AR33" i="2"/>
  <c r="AS33" i="2" s="1"/>
  <c r="AN33" i="2"/>
  <c r="AO33" i="2" s="1"/>
  <c r="BP32" i="2"/>
  <c r="BQ32" i="2" s="1"/>
  <c r="BL32" i="2"/>
  <c r="BM32" i="2" s="1"/>
  <c r="AV32" i="2"/>
  <c r="AW32" i="2" s="1"/>
  <c r="AR32" i="2"/>
  <c r="AS32" i="2" s="1"/>
  <c r="AN32" i="2"/>
  <c r="AO32" i="2" s="1"/>
  <c r="BP31" i="2"/>
  <c r="BQ31" i="2" s="1"/>
  <c r="BL31" i="2"/>
  <c r="BM31" i="2" s="1"/>
  <c r="AV31" i="2"/>
  <c r="AW31" i="2" s="1"/>
  <c r="AR31" i="2"/>
  <c r="AS31" i="2" s="1"/>
  <c r="BP30" i="2"/>
  <c r="BQ30" i="2" s="1"/>
  <c r="BL30" i="2"/>
  <c r="BM30" i="2" s="1"/>
  <c r="AV30" i="2"/>
  <c r="AW30" i="2" s="1"/>
  <c r="AR30" i="2"/>
  <c r="AS30" i="2" s="1"/>
  <c r="BP29" i="2"/>
  <c r="BQ29" i="2" s="1"/>
  <c r="BL29" i="2"/>
  <c r="BM29" i="2" s="1"/>
  <c r="AV29" i="2"/>
  <c r="AW29" i="2" s="1"/>
  <c r="AR29" i="2"/>
  <c r="AS29" i="2" s="1"/>
  <c r="BP28" i="2"/>
  <c r="BQ28" i="2" s="1"/>
  <c r="BL28" i="2"/>
  <c r="BM28" i="2" s="1"/>
  <c r="AR28" i="2"/>
  <c r="AS28" i="2" s="1"/>
  <c r="BP27" i="2"/>
  <c r="BQ27" i="2" s="1"/>
  <c r="BL27" i="2"/>
  <c r="BM27" i="2" s="1"/>
  <c r="AR27" i="2"/>
  <c r="AS27" i="2" s="1"/>
  <c r="BP26" i="2"/>
  <c r="BQ26" i="2" s="1"/>
  <c r="BL26" i="2"/>
  <c r="BM26" i="2" s="1"/>
  <c r="AR26" i="2"/>
  <c r="AS26" i="2" s="1"/>
  <c r="BP25" i="2"/>
  <c r="BQ25" i="2" s="1"/>
  <c r="BL25" i="2"/>
  <c r="BM25" i="2" s="1"/>
  <c r="AR25" i="2"/>
  <c r="AS25" i="2" s="1"/>
  <c r="BP24" i="2"/>
  <c r="BQ24" i="2" s="1"/>
  <c r="BL24" i="2"/>
  <c r="BM24" i="2" s="1"/>
  <c r="AR24" i="2"/>
  <c r="AS24" i="2" s="1"/>
  <c r="BP23" i="2"/>
  <c r="BQ23" i="2" s="1"/>
  <c r="BL23" i="2"/>
  <c r="BM23" i="2" s="1"/>
  <c r="AR23" i="2"/>
  <c r="AS23" i="2" s="1"/>
  <c r="BP22" i="2"/>
  <c r="BQ22" i="2" s="1"/>
  <c r="BL22" i="2"/>
  <c r="BM22" i="2" s="1"/>
  <c r="AR22" i="2"/>
  <c r="AS22" i="2" s="1"/>
  <c r="BP21" i="2"/>
  <c r="BQ21" i="2" s="1"/>
  <c r="BL21" i="2"/>
  <c r="BM21" i="2" s="1"/>
  <c r="AR21" i="2"/>
  <c r="AS21" i="2" s="1"/>
  <c r="BP20" i="2"/>
  <c r="BQ20" i="2" s="1"/>
  <c r="BL20" i="2"/>
  <c r="BM20" i="2" s="1"/>
  <c r="AV20" i="2"/>
  <c r="AW20" i="2" s="1"/>
  <c r="AR20" i="2"/>
  <c r="AS20" i="2" s="1"/>
  <c r="BP19" i="2"/>
  <c r="BQ19" i="2" s="1"/>
  <c r="BL19" i="2"/>
  <c r="BM19" i="2" s="1"/>
  <c r="AV19" i="2"/>
  <c r="AW19" i="2" s="1"/>
  <c r="AR19" i="2"/>
  <c r="AS19" i="2" s="1"/>
  <c r="BP18" i="2"/>
  <c r="BQ18" i="2" s="1"/>
  <c r="BL18" i="2"/>
  <c r="BM18" i="2" s="1"/>
  <c r="AV18" i="2"/>
  <c r="AW18" i="2" s="1"/>
  <c r="AR18" i="2"/>
  <c r="AS18" i="2" s="1"/>
  <c r="BP17" i="2"/>
  <c r="BQ17" i="2" s="1"/>
  <c r="BL17" i="2"/>
  <c r="BM17" i="2" s="1"/>
  <c r="AV17" i="2"/>
  <c r="AW17" i="2" s="1"/>
  <c r="AR17" i="2"/>
  <c r="AS17" i="2" s="1"/>
  <c r="BP16" i="2"/>
  <c r="BQ16" i="2" s="1"/>
  <c r="BL16" i="2"/>
  <c r="BM16" i="2" s="1"/>
  <c r="AV16" i="2"/>
  <c r="AW16" i="2" s="1"/>
  <c r="AR16" i="2"/>
  <c r="AS16" i="2" s="1"/>
  <c r="BP15" i="2"/>
  <c r="BQ15" i="2" s="1"/>
  <c r="BL15" i="2"/>
  <c r="BM15" i="2" s="1"/>
  <c r="AV15" i="2"/>
  <c r="AW15" i="2" s="1"/>
  <c r="AR15" i="2"/>
  <c r="AS15" i="2" s="1"/>
  <c r="BP14" i="2"/>
  <c r="BQ14" i="2" s="1"/>
  <c r="BL14" i="2"/>
  <c r="BM14" i="2" s="1"/>
  <c r="AV14" i="2"/>
  <c r="AW14" i="2" s="1"/>
  <c r="AR14" i="2"/>
  <c r="AS14" i="2" s="1"/>
  <c r="BP13" i="2"/>
  <c r="BQ13" i="2" s="1"/>
  <c r="BL13" i="2"/>
  <c r="BM13" i="2" s="1"/>
  <c r="AV13" i="2"/>
  <c r="AW13" i="2" s="1"/>
  <c r="AR13" i="2"/>
  <c r="AS13" i="2" s="1"/>
  <c r="BP12" i="2"/>
  <c r="BQ12" i="2" s="1"/>
  <c r="BL12" i="2"/>
  <c r="BM12" i="2" s="1"/>
  <c r="BP11" i="2"/>
  <c r="BQ11" i="2" s="1"/>
  <c r="BP10" i="2"/>
  <c r="BQ10" i="2" s="1"/>
  <c r="BP9" i="2"/>
  <c r="BQ9" i="2" s="1"/>
  <c r="BP8" i="2"/>
  <c r="BQ8" i="2" s="1"/>
  <c r="BP7" i="2"/>
  <c r="BQ7" i="2" s="1"/>
  <c r="BP6" i="2"/>
  <c r="BQ6" i="2" s="1"/>
  <c r="BN3" i="2"/>
  <c r="BM3" i="2"/>
  <c r="BL3" i="2"/>
  <c r="BJ3" i="2"/>
  <c r="BI3" i="2"/>
  <c r="BH3" i="2"/>
  <c r="BF3" i="2"/>
  <c r="BE3" i="2"/>
  <c r="BD3" i="2"/>
  <c r="BB3" i="2"/>
  <c r="BA3" i="2"/>
  <c r="AZ3" i="2"/>
  <c r="AX3" i="2"/>
  <c r="AW3" i="2"/>
  <c r="AV3" i="2"/>
  <c r="K1" i="4"/>
  <c r="AU29" i="2" l="1"/>
  <c r="AQ39" i="2"/>
  <c r="AQ38" i="2" s="1"/>
  <c r="AQ37" i="2" s="1"/>
  <c r="AQ36" i="2" s="1"/>
  <c r="AQ35" i="2" s="1"/>
  <c r="AQ34" i="2" s="1"/>
  <c r="AQ33" i="2" s="1"/>
  <c r="AQ32" i="2" s="1"/>
  <c r="AQ31" i="2" s="1"/>
  <c r="AQ30" i="2" s="1"/>
  <c r="AQ29" i="2" s="1"/>
  <c r="AQ28" i="2" s="1"/>
  <c r="AQ27" i="2" s="1"/>
  <c r="AQ26" i="2" s="1"/>
  <c r="AQ25" i="2" s="1"/>
  <c r="AQ24" i="2" s="1"/>
  <c r="AQ23" i="2" s="1"/>
  <c r="AQ22" i="2" s="1"/>
  <c r="AQ21" i="2" s="1"/>
  <c r="AQ20" i="2" s="1"/>
  <c r="AQ19" i="2" s="1"/>
  <c r="AQ18" i="2" s="1"/>
  <c r="AQ17" i="2" s="1"/>
  <c r="AQ16" i="2" s="1"/>
  <c r="AQ15" i="2" s="1"/>
  <c r="AQ14" i="2" s="1"/>
  <c r="AQ13" i="2" s="1"/>
  <c r="BC52" i="2"/>
  <c r="BC51" i="2" s="1"/>
  <c r="BC50" i="2" s="1"/>
  <c r="BC49" i="2" s="1"/>
  <c r="BC48" i="2" s="1"/>
  <c r="BK41" i="2"/>
  <c r="BK40" i="2" s="1"/>
  <c r="BK39" i="2" s="1"/>
  <c r="BK38" i="2" s="1"/>
  <c r="BK37" i="2" s="1"/>
  <c r="BK36" i="2" s="1"/>
  <c r="BK35" i="2" s="1"/>
  <c r="BK34" i="2" s="1"/>
  <c r="BK33" i="2" s="1"/>
  <c r="BK32" i="2" s="1"/>
  <c r="BK31" i="2" s="1"/>
  <c r="BK30" i="2" s="1"/>
  <c r="BK29" i="2" s="1"/>
  <c r="BK28" i="2" s="1"/>
  <c r="BK27" i="2" s="1"/>
  <c r="BK26" i="2" s="1"/>
  <c r="BK25" i="2" s="1"/>
  <c r="BK24" i="2" s="1"/>
  <c r="BK23" i="2" s="1"/>
  <c r="BK22" i="2" s="1"/>
  <c r="BK21" i="2" s="1"/>
  <c r="BK20" i="2" s="1"/>
  <c r="BK19" i="2" s="1"/>
  <c r="BK18" i="2" s="1"/>
  <c r="BK17" i="2" s="1"/>
  <c r="BK16" i="2" s="1"/>
  <c r="BK15" i="2" s="1"/>
  <c r="BK14" i="2" s="1"/>
  <c r="BK13" i="2" s="1"/>
  <c r="BK12" i="2" s="1"/>
  <c r="BG49" i="2"/>
  <c r="BG48" i="2" s="1"/>
  <c r="BG47" i="2" s="1"/>
  <c r="BG46" i="2" s="1"/>
  <c r="BG45" i="2" s="1"/>
  <c r="AM34" i="2"/>
  <c r="AM33" i="2" s="1"/>
  <c r="AM32" i="2" s="1"/>
  <c r="C35" i="9"/>
  <c r="D37" i="9"/>
  <c r="C37" i="9" s="1"/>
  <c r="J150" i="3"/>
  <c r="H150" i="3"/>
  <c r="F150" i="3"/>
  <c r="D150" i="3"/>
  <c r="I150" i="3"/>
  <c r="E150" i="3"/>
  <c r="K150" i="3"/>
  <c r="G150" i="3"/>
  <c r="N118" i="3"/>
  <c r="J117" i="3"/>
  <c r="H117" i="3"/>
  <c r="F117" i="3"/>
  <c r="I117" i="3"/>
  <c r="E117" i="3"/>
  <c r="K117" i="3"/>
  <c r="G117" i="3"/>
  <c r="D117" i="3"/>
  <c r="N154" i="3"/>
  <c r="J153" i="3"/>
  <c r="H153" i="3"/>
  <c r="F153" i="3"/>
  <c r="D153" i="3"/>
  <c r="I153" i="3"/>
  <c r="E153" i="3"/>
  <c r="K153" i="3"/>
  <c r="G153" i="3"/>
  <c r="A48" i="10"/>
  <c r="A49" i="10"/>
  <c r="A104" i="10"/>
  <c r="A105" i="10"/>
  <c r="A62" i="10"/>
  <c r="A63" i="10"/>
  <c r="A118" i="10"/>
  <c r="A119" i="10"/>
  <c r="A76" i="10"/>
  <c r="A77" i="10"/>
  <c r="A35" i="10"/>
  <c r="A34" i="10"/>
  <c r="A90" i="10"/>
  <c r="A91" i="10"/>
  <c r="A14" i="10"/>
  <c r="A20" i="10" s="1"/>
  <c r="C16" i="10"/>
  <c r="D16" i="10" s="1"/>
  <c r="D17" i="10" s="1"/>
  <c r="A21" i="10"/>
  <c r="F13" i="10"/>
  <c r="H13" i="10" s="1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13" i="4"/>
  <c r="O3" i="6"/>
  <c r="O4" i="6" s="1"/>
  <c r="O5" i="6" s="1"/>
  <c r="O6" i="6" s="1"/>
  <c r="O7" i="6" s="1"/>
  <c r="O8" i="6" s="1"/>
  <c r="N3" i="6"/>
  <c r="N4" i="6" s="1"/>
  <c r="N5" i="6" s="1"/>
  <c r="N6" i="6" s="1"/>
  <c r="N7" i="6" s="1"/>
  <c r="N8" i="6" s="1"/>
  <c r="V4" i="4"/>
  <c r="C36" i="9" l="1"/>
  <c r="N119" i="3"/>
  <c r="J118" i="3"/>
  <c r="H118" i="3"/>
  <c r="F118" i="3"/>
  <c r="D118" i="3"/>
  <c r="I118" i="3"/>
  <c r="E118" i="3"/>
  <c r="K118" i="3"/>
  <c r="G118" i="3"/>
  <c r="N155" i="3"/>
  <c r="J154" i="3"/>
  <c r="H154" i="3"/>
  <c r="F154" i="3"/>
  <c r="D154" i="3"/>
  <c r="I154" i="3"/>
  <c r="E154" i="3"/>
  <c r="K154" i="3"/>
  <c r="G154" i="3"/>
  <c r="J148" i="3"/>
  <c r="H148" i="3"/>
  <c r="F148" i="3"/>
  <c r="D148" i="3"/>
  <c r="I148" i="3"/>
  <c r="E148" i="3"/>
  <c r="K148" i="3"/>
  <c r="G148" i="3"/>
  <c r="V6" i="4"/>
  <c r="V8" i="4"/>
  <c r="V10" i="4"/>
  <c r="V12" i="4"/>
  <c r="V14" i="4"/>
  <c r="V16" i="4"/>
  <c r="V18" i="4"/>
  <c r="V20" i="4"/>
  <c r="V22" i="4"/>
  <c r="V24" i="4"/>
  <c r="V26" i="4"/>
  <c r="V28" i="4"/>
  <c r="V5" i="4"/>
  <c r="V7" i="4"/>
  <c r="V9" i="4"/>
  <c r="V11" i="4"/>
  <c r="V15" i="4"/>
  <c r="V17" i="4"/>
  <c r="V19" i="4"/>
  <c r="V21" i="4"/>
  <c r="V23" i="4"/>
  <c r="V25" i="4"/>
  <c r="V27" i="4"/>
  <c r="N3" i="4"/>
  <c r="R3" i="4" s="1"/>
  <c r="M3" i="4"/>
  <c r="Q3" i="4" s="1"/>
  <c r="L3" i="4"/>
  <c r="P3" i="4" s="1"/>
  <c r="N102" i="3"/>
  <c r="D102" i="3" s="1"/>
  <c r="N103" i="3"/>
  <c r="C32" i="6" s="1"/>
  <c r="N104" i="3"/>
  <c r="C33" i="6" s="1"/>
  <c r="N105" i="3"/>
  <c r="C34" i="6" s="1"/>
  <c r="N106" i="3"/>
  <c r="C35" i="6" s="1"/>
  <c r="N107" i="3"/>
  <c r="C36" i="6" s="1"/>
  <c r="N108" i="3"/>
  <c r="C37" i="6" s="1"/>
  <c r="N109" i="3"/>
  <c r="C38" i="6" s="1"/>
  <c r="N158" i="3" l="1"/>
  <c r="J155" i="3"/>
  <c r="H155" i="3"/>
  <c r="F155" i="3"/>
  <c r="D155" i="3"/>
  <c r="I155" i="3"/>
  <c r="E155" i="3"/>
  <c r="K155" i="3"/>
  <c r="G155" i="3"/>
  <c r="N120" i="3"/>
  <c r="J119" i="3"/>
  <c r="H119" i="3"/>
  <c r="F119" i="3"/>
  <c r="D119" i="3"/>
  <c r="I119" i="3"/>
  <c r="E119" i="3"/>
  <c r="K119" i="3"/>
  <c r="G119" i="3"/>
  <c r="K102" i="3"/>
  <c r="K103" i="3" s="1"/>
  <c r="K104" i="3" s="1"/>
  <c r="K105" i="3" s="1"/>
  <c r="K106" i="3" s="1"/>
  <c r="K107" i="3" s="1"/>
  <c r="K108" i="3" s="1"/>
  <c r="K109" i="3" s="1"/>
  <c r="D103" i="3"/>
  <c r="D104" i="3" s="1"/>
  <c r="D105" i="3" s="1"/>
  <c r="D106" i="3" s="1"/>
  <c r="D107" i="3" s="1"/>
  <c r="D108" i="3" s="1"/>
  <c r="D109" i="3" s="1"/>
  <c r="J102" i="3"/>
  <c r="J103" i="3" s="1"/>
  <c r="J104" i="3" s="1"/>
  <c r="J105" i="3" s="1"/>
  <c r="J106" i="3" s="1"/>
  <c r="J107" i="3" s="1"/>
  <c r="J108" i="3" s="1"/>
  <c r="J109" i="3" s="1"/>
  <c r="F102" i="3"/>
  <c r="F103" i="3" s="1"/>
  <c r="F104" i="3" s="1"/>
  <c r="F105" i="3" s="1"/>
  <c r="F106" i="3" s="1"/>
  <c r="F107" i="3" s="1"/>
  <c r="F108" i="3" s="1"/>
  <c r="F109" i="3" s="1"/>
  <c r="H102" i="3"/>
  <c r="H103" i="3" s="1"/>
  <c r="H104" i="3" s="1"/>
  <c r="H105" i="3" s="1"/>
  <c r="H106" i="3" s="1"/>
  <c r="H107" i="3" s="1"/>
  <c r="H108" i="3" s="1"/>
  <c r="H109" i="3" s="1"/>
  <c r="C31" i="6"/>
  <c r="E102" i="3"/>
  <c r="E103" i="3" s="1"/>
  <c r="E104" i="3" s="1"/>
  <c r="E105" i="3" s="1"/>
  <c r="E106" i="3" s="1"/>
  <c r="E107" i="3" s="1"/>
  <c r="E108" i="3" s="1"/>
  <c r="E109" i="3" s="1"/>
  <c r="G102" i="3"/>
  <c r="G103" i="3" s="1"/>
  <c r="G104" i="3" s="1"/>
  <c r="G105" i="3" s="1"/>
  <c r="G106" i="3" s="1"/>
  <c r="G107" i="3" s="1"/>
  <c r="G108" i="3" s="1"/>
  <c r="G109" i="3" s="1"/>
  <c r="I102" i="3"/>
  <c r="I103" i="3" s="1"/>
  <c r="I104" i="3" s="1"/>
  <c r="I105" i="3" s="1"/>
  <c r="I106" i="3" s="1"/>
  <c r="I107" i="3" s="1"/>
  <c r="I108" i="3" s="1"/>
  <c r="I109" i="3" s="1"/>
  <c r="N92" i="3"/>
  <c r="K92" i="3" s="1"/>
  <c r="K97" i="3" s="1"/>
  <c r="N93" i="3"/>
  <c r="K93" i="3" s="1"/>
  <c r="N94" i="3"/>
  <c r="K94" i="3" s="1"/>
  <c r="J10" i="5"/>
  <c r="J9" i="5"/>
  <c r="A101" i="10" s="1"/>
  <c r="J8" i="5"/>
  <c r="A87" i="10" s="1"/>
  <c r="J7" i="5"/>
  <c r="A73" i="10" s="1"/>
  <c r="J6" i="5"/>
  <c r="A59" i="10" s="1"/>
  <c r="J5" i="5"/>
  <c r="A45" i="10" s="1"/>
  <c r="J4" i="5"/>
  <c r="A31" i="10" s="1"/>
  <c r="J3" i="5"/>
  <c r="A17" i="10" s="1"/>
  <c r="N78" i="3"/>
  <c r="O78" i="3"/>
  <c r="P78" i="3"/>
  <c r="Q78" i="3"/>
  <c r="N79" i="3"/>
  <c r="O79" i="3"/>
  <c r="P79" i="3"/>
  <c r="Q79" i="3"/>
  <c r="N80" i="3"/>
  <c r="O80" i="3"/>
  <c r="P80" i="3"/>
  <c r="Q80" i="3"/>
  <c r="N81" i="3"/>
  <c r="O81" i="3"/>
  <c r="P81" i="3"/>
  <c r="Q81" i="3"/>
  <c r="N82" i="3"/>
  <c r="Q82" i="3"/>
  <c r="N65" i="3"/>
  <c r="O65" i="3"/>
  <c r="P65" i="3"/>
  <c r="Q65" i="3"/>
  <c r="N66" i="3"/>
  <c r="O66" i="3"/>
  <c r="P66" i="3"/>
  <c r="Q66" i="3"/>
  <c r="N67" i="3"/>
  <c r="O67" i="3"/>
  <c r="P67" i="3"/>
  <c r="Q67" i="3"/>
  <c r="N68" i="3"/>
  <c r="O68" i="3"/>
  <c r="P68" i="3"/>
  <c r="Q68" i="3"/>
  <c r="K69" i="3"/>
  <c r="K62" i="3"/>
  <c r="J62" i="3"/>
  <c r="I62" i="3"/>
  <c r="H62" i="3"/>
  <c r="G62" i="3"/>
  <c r="F62" i="3"/>
  <c r="E62" i="3"/>
  <c r="D62" i="3"/>
  <c r="K60" i="3"/>
  <c r="J60" i="3"/>
  <c r="I60" i="3"/>
  <c r="H60" i="3"/>
  <c r="G60" i="3"/>
  <c r="F60" i="3"/>
  <c r="E60" i="3"/>
  <c r="D60" i="3"/>
  <c r="N121" i="3" l="1"/>
  <c r="J120" i="3"/>
  <c r="H120" i="3"/>
  <c r="F120" i="3"/>
  <c r="D120" i="3"/>
  <c r="I120" i="3"/>
  <c r="E120" i="3"/>
  <c r="K120" i="3"/>
  <c r="G120" i="3"/>
  <c r="J158" i="3"/>
  <c r="H158" i="3"/>
  <c r="F158" i="3"/>
  <c r="D158" i="3"/>
  <c r="N159" i="3"/>
  <c r="I158" i="3"/>
  <c r="E158" i="3"/>
  <c r="K158" i="3"/>
  <c r="G158" i="3"/>
  <c r="AB3" i="5"/>
  <c r="AB5" i="5"/>
  <c r="AB7" i="5"/>
  <c r="AB9" i="5"/>
  <c r="AB4" i="5"/>
  <c r="AB6" i="5"/>
  <c r="AB8" i="5"/>
  <c r="AB10" i="5"/>
  <c r="A115" i="10"/>
  <c r="K98" i="3"/>
  <c r="K99" i="3" s="1"/>
  <c r="J81" i="3"/>
  <c r="J80" i="3"/>
  <c r="J79" i="3"/>
  <c r="D92" i="3"/>
  <c r="F92" i="3"/>
  <c r="H92" i="3"/>
  <c r="J92" i="3"/>
  <c r="D93" i="3"/>
  <c r="F93" i="3"/>
  <c r="H93" i="3"/>
  <c r="J93" i="3"/>
  <c r="D94" i="3"/>
  <c r="F94" i="3"/>
  <c r="H94" i="3"/>
  <c r="J94" i="3"/>
  <c r="K68" i="3"/>
  <c r="K66" i="3"/>
  <c r="K65" i="3"/>
  <c r="K72" i="3" s="1"/>
  <c r="O82" i="3"/>
  <c r="P82" i="3" s="1"/>
  <c r="E92" i="3"/>
  <c r="E97" i="3" s="1"/>
  <c r="G92" i="3"/>
  <c r="I92" i="3"/>
  <c r="I97" i="3" s="1"/>
  <c r="E93" i="3"/>
  <c r="G93" i="3"/>
  <c r="I93" i="3"/>
  <c r="E94" i="3"/>
  <c r="G94" i="3"/>
  <c r="I94" i="3"/>
  <c r="E79" i="3"/>
  <c r="G79" i="3"/>
  <c r="I79" i="3"/>
  <c r="K79" i="3"/>
  <c r="E80" i="3"/>
  <c r="G80" i="3"/>
  <c r="I80" i="3"/>
  <c r="K80" i="3"/>
  <c r="E81" i="3"/>
  <c r="G81" i="3"/>
  <c r="I81" i="3"/>
  <c r="K81" i="3"/>
  <c r="E82" i="3"/>
  <c r="G82" i="3"/>
  <c r="I82" i="3"/>
  <c r="K82" i="3"/>
  <c r="K67" i="3"/>
  <c r="D79" i="3"/>
  <c r="F79" i="3"/>
  <c r="H79" i="3"/>
  <c r="D80" i="3"/>
  <c r="F80" i="3"/>
  <c r="H80" i="3"/>
  <c r="D81" i="3"/>
  <c r="F81" i="3"/>
  <c r="H81" i="3"/>
  <c r="D82" i="3"/>
  <c r="F82" i="3"/>
  <c r="H82" i="3"/>
  <c r="D65" i="3"/>
  <c r="F65" i="3"/>
  <c r="H65" i="3"/>
  <c r="J65" i="3"/>
  <c r="D66" i="3"/>
  <c r="F66" i="3"/>
  <c r="H66" i="3"/>
  <c r="J66" i="3"/>
  <c r="D67" i="3"/>
  <c r="F67" i="3"/>
  <c r="H67" i="3"/>
  <c r="J67" i="3"/>
  <c r="D68" i="3"/>
  <c r="F68" i="3"/>
  <c r="H68" i="3"/>
  <c r="J68" i="3"/>
  <c r="D69" i="3"/>
  <c r="F69" i="3"/>
  <c r="H69" i="3"/>
  <c r="J69" i="3"/>
  <c r="E65" i="3"/>
  <c r="G65" i="3"/>
  <c r="I65" i="3"/>
  <c r="E66" i="3"/>
  <c r="G66" i="3"/>
  <c r="I66" i="3"/>
  <c r="E67" i="3"/>
  <c r="G67" i="3"/>
  <c r="I67" i="3"/>
  <c r="E68" i="3"/>
  <c r="G68" i="3"/>
  <c r="I68" i="3"/>
  <c r="E69" i="3"/>
  <c r="G69" i="3"/>
  <c r="I69" i="3"/>
  <c r="K59" i="3"/>
  <c r="J59" i="3"/>
  <c r="I59" i="3"/>
  <c r="H59" i="3"/>
  <c r="G59" i="3"/>
  <c r="F59" i="3"/>
  <c r="E59" i="3"/>
  <c r="K56" i="3"/>
  <c r="J56" i="3"/>
  <c r="I56" i="3"/>
  <c r="H56" i="3"/>
  <c r="G56" i="3"/>
  <c r="F56" i="3"/>
  <c r="E56" i="3"/>
  <c r="D56" i="3"/>
  <c r="D59" i="3"/>
  <c r="K57" i="3"/>
  <c r="I72" i="3" l="1"/>
  <c r="J72" i="3"/>
  <c r="J73" i="3" s="1"/>
  <c r="J74" i="3" s="1"/>
  <c r="J75" i="3" s="1"/>
  <c r="J76" i="3" s="1"/>
  <c r="G72" i="3"/>
  <c r="G73" i="3" s="1"/>
  <c r="G74" i="3" s="1"/>
  <c r="G75" i="3" s="1"/>
  <c r="G76" i="3" s="1"/>
  <c r="H72" i="3"/>
  <c r="H73" i="3" s="1"/>
  <c r="H74" i="3" s="1"/>
  <c r="H75" i="3" s="1"/>
  <c r="H76" i="3" s="1"/>
  <c r="J159" i="3"/>
  <c r="E159" i="3"/>
  <c r="I159" i="3"/>
  <c r="D159" i="3"/>
  <c r="H159" i="3"/>
  <c r="N160" i="3"/>
  <c r="G159" i="3"/>
  <c r="K159" i="3"/>
  <c r="F159" i="3"/>
  <c r="N138" i="3"/>
  <c r="J121" i="3"/>
  <c r="H121" i="3"/>
  <c r="F121" i="3"/>
  <c r="D121" i="3"/>
  <c r="I121" i="3"/>
  <c r="E121" i="3"/>
  <c r="K121" i="3"/>
  <c r="G121" i="3"/>
  <c r="I98" i="3"/>
  <c r="I99" i="3" s="1"/>
  <c r="E98" i="3"/>
  <c r="E99" i="3" s="1"/>
  <c r="H97" i="3"/>
  <c r="H98" i="3" s="1"/>
  <c r="H99" i="3" s="1"/>
  <c r="D97" i="3"/>
  <c r="D98" i="3" s="1"/>
  <c r="D99" i="3" s="1"/>
  <c r="G97" i="3"/>
  <c r="G98" i="3" s="1"/>
  <c r="G99" i="3" s="1"/>
  <c r="J97" i="3"/>
  <c r="J98" i="3" s="1"/>
  <c r="J99" i="3" s="1"/>
  <c r="F97" i="3"/>
  <c r="F98" i="3" s="1"/>
  <c r="F99" i="3" s="1"/>
  <c r="K73" i="3"/>
  <c r="K74" i="3" s="1"/>
  <c r="K75" i="3" s="1"/>
  <c r="K76" i="3" s="1"/>
  <c r="J82" i="3"/>
  <c r="F72" i="3"/>
  <c r="I73" i="3"/>
  <c r="I74" i="3" s="1"/>
  <c r="I75" i="3" s="1"/>
  <c r="I76" i="3" s="1"/>
  <c r="E72" i="3"/>
  <c r="D72" i="3"/>
  <c r="N139" i="3" l="1"/>
  <c r="J138" i="3"/>
  <c r="H138" i="3"/>
  <c r="F138" i="3"/>
  <c r="D138" i="3"/>
  <c r="I138" i="3"/>
  <c r="E138" i="3"/>
  <c r="K138" i="3"/>
  <c r="G138" i="3"/>
  <c r="N161" i="3"/>
  <c r="G160" i="3"/>
  <c r="J160" i="3"/>
  <c r="E160" i="3"/>
  <c r="I160" i="3"/>
  <c r="D160" i="3"/>
  <c r="H160" i="3"/>
  <c r="K160" i="3"/>
  <c r="F160" i="3"/>
  <c r="D73" i="3"/>
  <c r="D74" i="3" s="1"/>
  <c r="D75" i="3" s="1"/>
  <c r="D76" i="3" s="1"/>
  <c r="C20" i="10" s="1"/>
  <c r="E73" i="3"/>
  <c r="E74" i="3" s="1"/>
  <c r="E75" i="3" s="1"/>
  <c r="E76" i="3" s="1"/>
  <c r="F73" i="3"/>
  <c r="F74" i="3" s="1"/>
  <c r="F75" i="3" s="1"/>
  <c r="F76" i="3" s="1"/>
  <c r="E47" i="3"/>
  <c r="O4" i="3" s="1"/>
  <c r="F47" i="3"/>
  <c r="P4" i="3" s="1"/>
  <c r="G47" i="3"/>
  <c r="Q4" i="3" s="1"/>
  <c r="H47" i="3"/>
  <c r="R4" i="3" s="1"/>
  <c r="I47" i="3"/>
  <c r="S4" i="3" s="1"/>
  <c r="J47" i="3"/>
  <c r="T4" i="3" s="1"/>
  <c r="E48" i="3"/>
  <c r="F48" i="3"/>
  <c r="G48" i="3"/>
  <c r="H48" i="3"/>
  <c r="I48" i="3"/>
  <c r="J48" i="3"/>
  <c r="E49" i="3"/>
  <c r="F49" i="3"/>
  <c r="G49" i="3"/>
  <c r="H49" i="3"/>
  <c r="I49" i="3"/>
  <c r="J49" i="3"/>
  <c r="E50" i="3"/>
  <c r="F50" i="3"/>
  <c r="G50" i="3"/>
  <c r="H50" i="3"/>
  <c r="I50" i="3"/>
  <c r="J50" i="3"/>
  <c r="E51" i="3"/>
  <c r="F51" i="3"/>
  <c r="G51" i="3"/>
  <c r="H51" i="3"/>
  <c r="J51" i="3"/>
  <c r="N162" i="3" l="1"/>
  <c r="G161" i="3"/>
  <c r="J161" i="3"/>
  <c r="E161" i="3"/>
  <c r="I161" i="3"/>
  <c r="D161" i="3"/>
  <c r="H161" i="3"/>
  <c r="K161" i="3"/>
  <c r="F161" i="3"/>
  <c r="N140" i="3"/>
  <c r="J139" i="3"/>
  <c r="H139" i="3"/>
  <c r="F139" i="3"/>
  <c r="D139" i="3"/>
  <c r="I139" i="3"/>
  <c r="E139" i="3"/>
  <c r="K139" i="3"/>
  <c r="G139" i="3"/>
  <c r="S5" i="3"/>
  <c r="S6" i="3" s="1"/>
  <c r="S7" i="3" s="1"/>
  <c r="S8" i="3" s="1"/>
  <c r="S9" i="3" s="1"/>
  <c r="Q5" i="3"/>
  <c r="Q6" i="3" s="1"/>
  <c r="Q7" i="3" s="1"/>
  <c r="Q8" i="3" s="1"/>
  <c r="Q9" i="3" s="1"/>
  <c r="O5" i="3"/>
  <c r="O6" i="3" s="1"/>
  <c r="O7" i="3" s="1"/>
  <c r="O8" i="3" s="1"/>
  <c r="O9" i="3" s="1"/>
  <c r="T5" i="3"/>
  <c r="T6" i="3" s="1"/>
  <c r="T7" i="3" s="1"/>
  <c r="T8" i="3" s="1"/>
  <c r="T9" i="3" s="1"/>
  <c r="R5" i="3"/>
  <c r="R6" i="3" s="1"/>
  <c r="R7" i="3" s="1"/>
  <c r="R8" i="3" s="1"/>
  <c r="R9" i="3" s="1"/>
  <c r="P5" i="3"/>
  <c r="P6" i="3" s="1"/>
  <c r="P7" i="3" s="1"/>
  <c r="P8" i="3" s="1"/>
  <c r="P9" i="3" s="1"/>
  <c r="J53" i="3"/>
  <c r="A107" i="10" s="1"/>
  <c r="F53" i="3"/>
  <c r="H53" i="3"/>
  <c r="A79" i="10" s="1"/>
  <c r="E53" i="3"/>
  <c r="G53" i="3"/>
  <c r="A65" i="10" s="1"/>
  <c r="I53" i="3"/>
  <c r="A93" i="10" s="1"/>
  <c r="J140" i="3" l="1"/>
  <c r="H140" i="3"/>
  <c r="F140" i="3"/>
  <c r="D140" i="3"/>
  <c r="I140" i="3"/>
  <c r="E140" i="3"/>
  <c r="K140" i="3"/>
  <c r="G140" i="3"/>
  <c r="N143" i="3"/>
  <c r="N142" i="3"/>
  <c r="N125" i="3" s="1"/>
  <c r="N126" i="3" s="1"/>
  <c r="N127" i="3" s="1"/>
  <c r="N128" i="3" s="1"/>
  <c r="N129" i="3" s="1"/>
  <c r="N163" i="3"/>
  <c r="G162" i="3"/>
  <c r="E162" i="3"/>
  <c r="I162" i="3"/>
  <c r="D162" i="3"/>
  <c r="H162" i="3"/>
  <c r="K162" i="3"/>
  <c r="F162" i="3"/>
  <c r="J162" i="3"/>
  <c r="P10" i="3"/>
  <c r="P11" i="3" s="1"/>
  <c r="P12" i="3" s="1"/>
  <c r="P13" i="3" s="1"/>
  <c r="P14" i="3" s="1"/>
  <c r="T10" i="3"/>
  <c r="T11" i="3" s="1"/>
  <c r="T12" i="3" s="1"/>
  <c r="T13" i="3" s="1"/>
  <c r="T14" i="3" s="1"/>
  <c r="Q10" i="3"/>
  <c r="Q11" i="3" s="1"/>
  <c r="Q12" i="3" s="1"/>
  <c r="Q13" i="3" s="1"/>
  <c r="Q14" i="3" s="1"/>
  <c r="R10" i="3"/>
  <c r="R11" i="3" s="1"/>
  <c r="R12" i="3" s="1"/>
  <c r="R13" i="3" s="1"/>
  <c r="R14" i="3" s="1"/>
  <c r="O10" i="3"/>
  <c r="O11" i="3" s="1"/>
  <c r="O12" i="3" s="1"/>
  <c r="O13" i="3" s="1"/>
  <c r="O14" i="3" s="1"/>
  <c r="S10" i="3"/>
  <c r="S11" i="3" s="1"/>
  <c r="S12" i="3" s="1"/>
  <c r="S13" i="3" s="1"/>
  <c r="S14" i="3" s="1"/>
  <c r="J142" i="3" l="1"/>
  <c r="H142" i="3"/>
  <c r="F142" i="3"/>
  <c r="D142" i="3"/>
  <c r="I142" i="3"/>
  <c r="E142" i="3"/>
  <c r="K142" i="3"/>
  <c r="G142" i="3"/>
  <c r="J163" i="3"/>
  <c r="K163" i="3"/>
  <c r="F163" i="3"/>
  <c r="E163" i="3"/>
  <c r="I163" i="3"/>
  <c r="D163" i="3"/>
  <c r="H163" i="3"/>
  <c r="G163" i="3"/>
  <c r="N144" i="3"/>
  <c r="J143" i="3"/>
  <c r="H143" i="3"/>
  <c r="F143" i="3"/>
  <c r="D143" i="3"/>
  <c r="I143" i="3"/>
  <c r="E143" i="3"/>
  <c r="K143" i="3"/>
  <c r="G143" i="3"/>
  <c r="N145" i="3" l="1"/>
  <c r="J144" i="3"/>
  <c r="H144" i="3"/>
  <c r="F144" i="3"/>
  <c r="D144" i="3"/>
  <c r="I144" i="3"/>
  <c r="E144" i="3"/>
  <c r="K144" i="3"/>
  <c r="G144" i="3"/>
  <c r="J145" i="3" l="1"/>
  <c r="H145" i="3"/>
  <c r="F145" i="3"/>
  <c r="D145" i="3"/>
  <c r="I145" i="3"/>
  <c r="E145" i="3"/>
  <c r="K145" i="3"/>
  <c r="G145" i="3"/>
  <c r="H56" i="6"/>
  <c r="H54" i="6"/>
  <c r="H53" i="6"/>
  <c r="H52" i="6"/>
  <c r="H51" i="6"/>
  <c r="H50" i="6"/>
  <c r="H49" i="6"/>
  <c r="H48" i="6"/>
  <c r="H47" i="6"/>
  <c r="H46" i="6"/>
  <c r="H45" i="6"/>
  <c r="H44" i="6"/>
  <c r="H43" i="6"/>
  <c r="F42" i="6"/>
  <c r="F43" i="6"/>
  <c r="F44" i="6"/>
  <c r="F45" i="6"/>
  <c r="F46" i="6"/>
  <c r="F47" i="6"/>
  <c r="F48" i="6"/>
  <c r="F49" i="6"/>
  <c r="F50" i="6"/>
  <c r="F51" i="6"/>
  <c r="F52" i="6"/>
  <c r="F53" i="6"/>
  <c r="B55" i="6"/>
  <c r="F54" i="6" s="1"/>
  <c r="D55" i="6"/>
  <c r="D54" i="6" s="1"/>
  <c r="D53" i="6" s="1"/>
  <c r="D52" i="6" s="1"/>
  <c r="D51" i="6" s="1"/>
  <c r="D50" i="6" s="1"/>
  <c r="D49" i="6" s="1"/>
  <c r="D48" i="6" s="1"/>
  <c r="D47" i="6" s="1"/>
  <c r="D46" i="6" s="1"/>
  <c r="D45" i="6" s="1"/>
  <c r="D44" i="6" s="1"/>
  <c r="D43" i="6" s="1"/>
  <c r="D42" i="6" s="1"/>
  <c r="F55" i="6"/>
  <c r="H42" i="6"/>
  <c r="C55" i="6" l="1"/>
  <c r="C54" i="6" s="1"/>
  <c r="C53" i="6" s="1"/>
  <c r="C52" i="6" s="1"/>
  <c r="C51" i="6" s="1"/>
  <c r="C50" i="6" s="1"/>
  <c r="C49" i="6" s="1"/>
  <c r="C48" i="6" s="1"/>
  <c r="C47" i="6" s="1"/>
  <c r="C46" i="6" s="1"/>
  <c r="C45" i="6" s="1"/>
  <c r="C44" i="6" s="1"/>
  <c r="C43" i="6" s="1"/>
  <c r="C42" i="6" s="1"/>
  <c r="H55" i="6"/>
  <c r="AC3" i="4" l="1"/>
  <c r="AE3" i="4"/>
  <c r="AD3" i="4"/>
  <c r="AB3" i="4"/>
  <c r="AA3" i="4"/>
  <c r="Z3" i="4"/>
  <c r="Y3" i="4"/>
  <c r="X3" i="4"/>
  <c r="AG3" i="4" l="1"/>
  <c r="X54" i="4"/>
  <c r="X53" i="4" s="1"/>
  <c r="X52" i="4" s="1"/>
  <c r="X51" i="4" s="1"/>
  <c r="X50" i="4" s="1"/>
  <c r="X49" i="4" s="1"/>
  <c r="X48" i="4" s="1"/>
  <c r="X47" i="4" s="1"/>
  <c r="X46" i="4" s="1"/>
  <c r="X45" i="4" s="1"/>
  <c r="X44" i="4" s="1"/>
  <c r="X43" i="4" s="1"/>
  <c r="X42" i="4" s="1"/>
  <c r="X41" i="4" s="1"/>
  <c r="X40" i="4" s="1"/>
  <c r="X39" i="4" s="1"/>
  <c r="X38" i="4" s="1"/>
  <c r="X37" i="4" s="1"/>
  <c r="X36" i="4" s="1"/>
  <c r="X35" i="4" s="1"/>
  <c r="X34" i="4" s="1"/>
  <c r="X33" i="4" s="1"/>
  <c r="X32" i="4" s="1"/>
  <c r="X31" i="4" s="1"/>
  <c r="X30" i="4" s="1"/>
  <c r="X29" i="4" s="1"/>
  <c r="X28" i="4" s="1"/>
  <c r="X27" i="4" s="1"/>
  <c r="X26" i="4" s="1"/>
  <c r="X25" i="4" s="1"/>
  <c r="X24" i="4" s="1"/>
  <c r="X23" i="4" s="1"/>
  <c r="X22" i="4" s="1"/>
  <c r="X21" i="4" s="1"/>
  <c r="X20" i="4" s="1"/>
  <c r="X19" i="4" s="1"/>
  <c r="X18" i="4" s="1"/>
  <c r="X17" i="4" s="1"/>
  <c r="X16" i="4" s="1"/>
  <c r="X15" i="4" s="1"/>
  <c r="X14" i="4" s="1"/>
  <c r="X13" i="4" s="1"/>
  <c r="X12" i="4" s="1"/>
  <c r="X11" i="4" s="1"/>
  <c r="X10" i="4" s="1"/>
  <c r="X9" i="4" s="1"/>
  <c r="X8" i="4" s="1"/>
  <c r="X7" i="4" s="1"/>
  <c r="X6" i="4" s="1"/>
  <c r="X5" i="4" s="1"/>
  <c r="X4" i="4" s="1"/>
  <c r="AI3" i="4"/>
  <c r="Z54" i="4"/>
  <c r="Z53" i="4" s="1"/>
  <c r="Z52" i="4" s="1"/>
  <c r="Z51" i="4" s="1"/>
  <c r="Z50" i="4" s="1"/>
  <c r="Z49" i="4" s="1"/>
  <c r="Z48" i="4" s="1"/>
  <c r="Z47" i="4" s="1"/>
  <c r="Z46" i="4" s="1"/>
  <c r="Z45" i="4" s="1"/>
  <c r="Z44" i="4" s="1"/>
  <c r="Z43" i="4" s="1"/>
  <c r="Z42" i="4" s="1"/>
  <c r="Z41" i="4" s="1"/>
  <c r="Z40" i="4" s="1"/>
  <c r="Z39" i="4" s="1"/>
  <c r="Z38" i="4" s="1"/>
  <c r="Z37" i="4" s="1"/>
  <c r="Z36" i="4" s="1"/>
  <c r="Z35" i="4" s="1"/>
  <c r="Z34" i="4" s="1"/>
  <c r="Z33" i="4" s="1"/>
  <c r="Z32" i="4" s="1"/>
  <c r="Z31" i="4" s="1"/>
  <c r="Z30" i="4" s="1"/>
  <c r="Z29" i="4" s="1"/>
  <c r="Z28" i="4" s="1"/>
  <c r="Z27" i="4" s="1"/>
  <c r="Z26" i="4" s="1"/>
  <c r="Z25" i="4" s="1"/>
  <c r="Z24" i="4" s="1"/>
  <c r="Z23" i="4" s="1"/>
  <c r="Z22" i="4" s="1"/>
  <c r="Z21" i="4" s="1"/>
  <c r="Z20" i="4" s="1"/>
  <c r="Z19" i="4" s="1"/>
  <c r="Z18" i="4" s="1"/>
  <c r="Z17" i="4" s="1"/>
  <c r="Z16" i="4" s="1"/>
  <c r="Z15" i="4" s="1"/>
  <c r="Z14" i="4" s="1"/>
  <c r="Z13" i="4" s="1"/>
  <c r="Z12" i="4" s="1"/>
  <c r="Z11" i="4" s="1"/>
  <c r="Z10" i="4" s="1"/>
  <c r="Z9" i="4" s="1"/>
  <c r="Z8" i="4" s="1"/>
  <c r="Z7" i="4" s="1"/>
  <c r="Z6" i="4" s="1"/>
  <c r="Z5" i="4" s="1"/>
  <c r="Z4" i="4" s="1"/>
  <c r="AK3" i="4"/>
  <c r="AB54" i="4"/>
  <c r="AB53" i="4" s="1"/>
  <c r="AB52" i="4" s="1"/>
  <c r="AB51" i="4" s="1"/>
  <c r="AB50" i="4" s="1"/>
  <c r="AB49" i="4" s="1"/>
  <c r="AB48" i="4" s="1"/>
  <c r="AB47" i="4" s="1"/>
  <c r="AB46" i="4" s="1"/>
  <c r="AB45" i="4" s="1"/>
  <c r="AB44" i="4" s="1"/>
  <c r="AB43" i="4" s="1"/>
  <c r="AB42" i="4" s="1"/>
  <c r="AB41" i="4" s="1"/>
  <c r="AB40" i="4" s="1"/>
  <c r="AB39" i="4" s="1"/>
  <c r="AB38" i="4" s="1"/>
  <c r="AB37" i="4" s="1"/>
  <c r="AB36" i="4" s="1"/>
  <c r="AB35" i="4" s="1"/>
  <c r="AB34" i="4" s="1"/>
  <c r="AB33" i="4" s="1"/>
  <c r="AB32" i="4" s="1"/>
  <c r="AB31" i="4" s="1"/>
  <c r="AB30" i="4" s="1"/>
  <c r="AB29" i="4" s="1"/>
  <c r="AB28" i="4" s="1"/>
  <c r="AB27" i="4" s="1"/>
  <c r="AB26" i="4" s="1"/>
  <c r="AB25" i="4" s="1"/>
  <c r="AB24" i="4" s="1"/>
  <c r="AB23" i="4" s="1"/>
  <c r="AB22" i="4" s="1"/>
  <c r="AB21" i="4" s="1"/>
  <c r="AB20" i="4" s="1"/>
  <c r="AB19" i="4" s="1"/>
  <c r="AB18" i="4" s="1"/>
  <c r="AB17" i="4" s="1"/>
  <c r="AB16" i="4" s="1"/>
  <c r="AB15" i="4" s="1"/>
  <c r="AB14" i="4" s="1"/>
  <c r="AB13" i="4" s="1"/>
  <c r="AB12" i="4" s="1"/>
  <c r="AB11" i="4" s="1"/>
  <c r="AB10" i="4" s="1"/>
  <c r="AB9" i="4" s="1"/>
  <c r="AB8" i="4" s="1"/>
  <c r="AB7" i="4" s="1"/>
  <c r="AB6" i="4" s="1"/>
  <c r="AB5" i="4" s="1"/>
  <c r="AB4" i="4" s="1"/>
  <c r="AN3" i="4"/>
  <c r="AE54" i="4"/>
  <c r="AE53" i="4" s="1"/>
  <c r="AE52" i="4" s="1"/>
  <c r="AE51" i="4" s="1"/>
  <c r="AE50" i="4" s="1"/>
  <c r="AE49" i="4" s="1"/>
  <c r="AE48" i="4" s="1"/>
  <c r="AE47" i="4" s="1"/>
  <c r="AE46" i="4" s="1"/>
  <c r="AE45" i="4" s="1"/>
  <c r="AE44" i="4" s="1"/>
  <c r="AE43" i="4" s="1"/>
  <c r="AE42" i="4" s="1"/>
  <c r="AE41" i="4" s="1"/>
  <c r="AE40" i="4" s="1"/>
  <c r="AE39" i="4" s="1"/>
  <c r="AE38" i="4" s="1"/>
  <c r="AE37" i="4" s="1"/>
  <c r="AE36" i="4" s="1"/>
  <c r="AE35" i="4" s="1"/>
  <c r="AE34" i="4" s="1"/>
  <c r="AE33" i="4" s="1"/>
  <c r="AE32" i="4" s="1"/>
  <c r="AE31" i="4" s="1"/>
  <c r="AE30" i="4" s="1"/>
  <c r="AE29" i="4" s="1"/>
  <c r="AE28" i="4" s="1"/>
  <c r="AE27" i="4" s="1"/>
  <c r="AE26" i="4" s="1"/>
  <c r="AE25" i="4" s="1"/>
  <c r="AE24" i="4" s="1"/>
  <c r="AE23" i="4" s="1"/>
  <c r="AE22" i="4" s="1"/>
  <c r="AE21" i="4" s="1"/>
  <c r="AE20" i="4" s="1"/>
  <c r="AE19" i="4" s="1"/>
  <c r="AE18" i="4" s="1"/>
  <c r="AE17" i="4" s="1"/>
  <c r="AE16" i="4" s="1"/>
  <c r="AE15" i="4" s="1"/>
  <c r="AE14" i="4" s="1"/>
  <c r="AE13" i="4" s="1"/>
  <c r="AE12" i="4" s="1"/>
  <c r="AE11" i="4" s="1"/>
  <c r="AE10" i="4" s="1"/>
  <c r="AE9" i="4" s="1"/>
  <c r="AE8" i="4" s="1"/>
  <c r="AE7" i="4" s="1"/>
  <c r="AE6" i="4" s="1"/>
  <c r="AE5" i="4" s="1"/>
  <c r="AE4" i="4" s="1"/>
  <c r="AH3" i="4"/>
  <c r="Y54" i="4"/>
  <c r="Y53" i="4" s="1"/>
  <c r="Y52" i="4" s="1"/>
  <c r="Y51" i="4" s="1"/>
  <c r="Y50" i="4" s="1"/>
  <c r="Y49" i="4" s="1"/>
  <c r="Y48" i="4" s="1"/>
  <c r="Y47" i="4" s="1"/>
  <c r="Y46" i="4" s="1"/>
  <c r="Y45" i="4" s="1"/>
  <c r="Y44" i="4" s="1"/>
  <c r="Y43" i="4" s="1"/>
  <c r="Y42" i="4" s="1"/>
  <c r="Y41" i="4" s="1"/>
  <c r="Y40" i="4" s="1"/>
  <c r="Y39" i="4" s="1"/>
  <c r="Y38" i="4" s="1"/>
  <c r="Y37" i="4" s="1"/>
  <c r="Y36" i="4" s="1"/>
  <c r="Y35" i="4" s="1"/>
  <c r="Y34" i="4" s="1"/>
  <c r="Y33" i="4" s="1"/>
  <c r="Y32" i="4" s="1"/>
  <c r="Y31" i="4" s="1"/>
  <c r="Y30" i="4" s="1"/>
  <c r="Y29" i="4" s="1"/>
  <c r="Y28" i="4" s="1"/>
  <c r="Y27" i="4" s="1"/>
  <c r="Y26" i="4" s="1"/>
  <c r="Y25" i="4" s="1"/>
  <c r="Y24" i="4" s="1"/>
  <c r="Y23" i="4" s="1"/>
  <c r="Y22" i="4" s="1"/>
  <c r="Y21" i="4" s="1"/>
  <c r="Y20" i="4" s="1"/>
  <c r="Y19" i="4" s="1"/>
  <c r="Y18" i="4" s="1"/>
  <c r="Y17" i="4" s="1"/>
  <c r="Y16" i="4" s="1"/>
  <c r="Y15" i="4" s="1"/>
  <c r="Y14" i="4" s="1"/>
  <c r="Y13" i="4" s="1"/>
  <c r="Y12" i="4" s="1"/>
  <c r="Y11" i="4" s="1"/>
  <c r="Y10" i="4" s="1"/>
  <c r="Y9" i="4" s="1"/>
  <c r="Y8" i="4" s="1"/>
  <c r="Y7" i="4" s="1"/>
  <c r="Y6" i="4" s="1"/>
  <c r="Y5" i="4" s="1"/>
  <c r="Y4" i="4" s="1"/>
  <c r="AJ3" i="4"/>
  <c r="AA54" i="4"/>
  <c r="AA53" i="4" s="1"/>
  <c r="AA52" i="4" s="1"/>
  <c r="AA51" i="4" s="1"/>
  <c r="AA50" i="4" s="1"/>
  <c r="AA49" i="4" s="1"/>
  <c r="AA48" i="4" s="1"/>
  <c r="AA47" i="4" s="1"/>
  <c r="AA46" i="4" s="1"/>
  <c r="AA45" i="4" s="1"/>
  <c r="AA44" i="4" s="1"/>
  <c r="AA43" i="4" s="1"/>
  <c r="AA42" i="4" s="1"/>
  <c r="AA41" i="4" s="1"/>
  <c r="AA40" i="4" s="1"/>
  <c r="AA39" i="4" s="1"/>
  <c r="AA38" i="4" s="1"/>
  <c r="AA37" i="4" s="1"/>
  <c r="AA36" i="4" s="1"/>
  <c r="AA35" i="4" s="1"/>
  <c r="AA34" i="4" s="1"/>
  <c r="AA33" i="4" s="1"/>
  <c r="AA32" i="4" s="1"/>
  <c r="AA31" i="4" s="1"/>
  <c r="AA30" i="4" s="1"/>
  <c r="AA29" i="4" s="1"/>
  <c r="AA28" i="4" s="1"/>
  <c r="AA27" i="4" s="1"/>
  <c r="AA26" i="4" s="1"/>
  <c r="AA25" i="4" s="1"/>
  <c r="AA24" i="4" s="1"/>
  <c r="AA23" i="4" s="1"/>
  <c r="AA22" i="4" s="1"/>
  <c r="AA21" i="4" s="1"/>
  <c r="AA20" i="4" s="1"/>
  <c r="AA19" i="4" s="1"/>
  <c r="AA18" i="4" s="1"/>
  <c r="AA17" i="4" s="1"/>
  <c r="AA16" i="4" s="1"/>
  <c r="AA15" i="4" s="1"/>
  <c r="AA14" i="4" s="1"/>
  <c r="AA13" i="4" s="1"/>
  <c r="AA12" i="4" s="1"/>
  <c r="AA11" i="4" s="1"/>
  <c r="AA10" i="4" s="1"/>
  <c r="AA9" i="4" s="1"/>
  <c r="AA8" i="4" s="1"/>
  <c r="AA7" i="4" s="1"/>
  <c r="AA6" i="4" s="1"/>
  <c r="AA5" i="4" s="1"/>
  <c r="AA4" i="4" s="1"/>
  <c r="AM3" i="4"/>
  <c r="AD54" i="4"/>
  <c r="AD53" i="4" s="1"/>
  <c r="AD52" i="4" s="1"/>
  <c r="AD51" i="4" s="1"/>
  <c r="AD50" i="4" s="1"/>
  <c r="AD49" i="4" s="1"/>
  <c r="AD48" i="4" s="1"/>
  <c r="AD47" i="4" s="1"/>
  <c r="AD46" i="4" s="1"/>
  <c r="AD45" i="4" s="1"/>
  <c r="AD44" i="4" s="1"/>
  <c r="AD43" i="4" s="1"/>
  <c r="AD42" i="4" s="1"/>
  <c r="AD41" i="4" s="1"/>
  <c r="AD40" i="4" s="1"/>
  <c r="AD39" i="4" s="1"/>
  <c r="AD38" i="4" s="1"/>
  <c r="AD37" i="4" s="1"/>
  <c r="AD36" i="4" s="1"/>
  <c r="AD35" i="4" s="1"/>
  <c r="AD34" i="4" s="1"/>
  <c r="AD33" i="4" s="1"/>
  <c r="AD32" i="4" s="1"/>
  <c r="AD31" i="4" s="1"/>
  <c r="AD30" i="4" s="1"/>
  <c r="AD29" i="4" s="1"/>
  <c r="AD28" i="4" s="1"/>
  <c r="AD27" i="4" s="1"/>
  <c r="AD26" i="4" s="1"/>
  <c r="AD25" i="4" s="1"/>
  <c r="AD24" i="4" s="1"/>
  <c r="AD23" i="4" s="1"/>
  <c r="AD22" i="4" s="1"/>
  <c r="AD21" i="4" s="1"/>
  <c r="AD20" i="4" s="1"/>
  <c r="AD19" i="4" s="1"/>
  <c r="AD18" i="4" s="1"/>
  <c r="AD17" i="4" s="1"/>
  <c r="AD16" i="4" s="1"/>
  <c r="AD15" i="4" s="1"/>
  <c r="AD14" i="4" s="1"/>
  <c r="AD13" i="4" s="1"/>
  <c r="AD12" i="4" s="1"/>
  <c r="AD11" i="4" s="1"/>
  <c r="AD10" i="4" s="1"/>
  <c r="AD9" i="4" s="1"/>
  <c r="AD8" i="4" s="1"/>
  <c r="AL3" i="4"/>
  <c r="AC54" i="4"/>
  <c r="AC53" i="4" s="1"/>
  <c r="AC52" i="4" s="1"/>
  <c r="AC51" i="4" s="1"/>
  <c r="AC50" i="4" s="1"/>
  <c r="AC49" i="4" s="1"/>
  <c r="AC48" i="4" s="1"/>
  <c r="AC47" i="4" s="1"/>
  <c r="AC46" i="4" s="1"/>
  <c r="AC45" i="4" s="1"/>
  <c r="AC44" i="4" s="1"/>
  <c r="AC43" i="4" s="1"/>
  <c r="AC42" i="4" s="1"/>
  <c r="AC41" i="4" s="1"/>
  <c r="AC40" i="4" s="1"/>
  <c r="AC39" i="4" s="1"/>
  <c r="AC38" i="4" s="1"/>
  <c r="AC37" i="4" s="1"/>
  <c r="AC36" i="4" s="1"/>
  <c r="AC35" i="4" s="1"/>
  <c r="AC34" i="4" s="1"/>
  <c r="AC33" i="4" s="1"/>
  <c r="AC32" i="4" s="1"/>
  <c r="AC31" i="4" s="1"/>
  <c r="AC30" i="4" s="1"/>
  <c r="AC29" i="4" s="1"/>
  <c r="AC28" i="4" s="1"/>
  <c r="AC27" i="4" s="1"/>
  <c r="AC26" i="4" s="1"/>
  <c r="AC25" i="4" s="1"/>
  <c r="AC24" i="4" s="1"/>
  <c r="AC23" i="4" s="1"/>
  <c r="AC22" i="4" s="1"/>
  <c r="AC21" i="4" s="1"/>
  <c r="AC20" i="4" s="1"/>
  <c r="AC19" i="4" s="1"/>
  <c r="AC18" i="4" s="1"/>
  <c r="AC17" i="4" s="1"/>
  <c r="AC16" i="4" s="1"/>
  <c r="AC15" i="4" s="1"/>
  <c r="AC14" i="4" s="1"/>
  <c r="AC13" i="4" s="1"/>
  <c r="AC12" i="4" s="1"/>
  <c r="AC11" i="4" s="1"/>
  <c r="AC10" i="4" s="1"/>
  <c r="AC9" i="4" s="1"/>
  <c r="AC8" i="4" s="1"/>
  <c r="AC7" i="4" s="1"/>
  <c r="AC6" i="4" s="1"/>
  <c r="AC5" i="4" s="1"/>
  <c r="AC4" i="4" s="1"/>
  <c r="R38" i="6"/>
  <c r="R35" i="6"/>
  <c r="R33" i="6"/>
  <c r="R32" i="6"/>
  <c r="R31" i="6"/>
  <c r="R30" i="6"/>
  <c r="C2" i="2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D7" i="4" l="1"/>
  <c r="AD6" i="4" s="1"/>
  <c r="AD5" i="4" s="1"/>
  <c r="AD4" i="4" s="1"/>
  <c r="AL53" i="4"/>
  <c r="AL52" i="4" s="1"/>
  <c r="AL51" i="4" s="1"/>
  <c r="AL50" i="4" s="1"/>
  <c r="AL49" i="4" s="1"/>
  <c r="AL48" i="4" s="1"/>
  <c r="AL47" i="4" s="1"/>
  <c r="AL46" i="4" s="1"/>
  <c r="AL45" i="4" s="1"/>
  <c r="AL44" i="4" s="1"/>
  <c r="AL43" i="4" s="1"/>
  <c r="AM53" i="4"/>
  <c r="AM52" i="4" s="1"/>
  <c r="AM51" i="4" s="1"/>
  <c r="AM50" i="4" s="1"/>
  <c r="AM49" i="4" s="1"/>
  <c r="AM48" i="4" s="1"/>
  <c r="AM47" i="4" s="1"/>
  <c r="AJ53" i="4"/>
  <c r="AJ52" i="4" s="1"/>
  <c r="AJ51" i="4" s="1"/>
  <c r="AJ50" i="4" s="1"/>
  <c r="AJ49" i="4" s="1"/>
  <c r="AJ48" i="4" s="1"/>
  <c r="AJ47" i="4" s="1"/>
  <c r="AJ46" i="4" s="1"/>
  <c r="AH53" i="4"/>
  <c r="AH52" i="4" s="1"/>
  <c r="AH51" i="4" s="1"/>
  <c r="AH50" i="4" s="1"/>
  <c r="AH49" i="4" s="1"/>
  <c r="AH48" i="4" s="1"/>
  <c r="AH47" i="4" s="1"/>
  <c r="AH46" i="4" s="1"/>
  <c r="AH45" i="4" s="1"/>
  <c r="AH44" i="4" s="1"/>
  <c r="AH43" i="4" s="1"/>
  <c r="AH42" i="4" s="1"/>
  <c r="AH41" i="4" s="1"/>
  <c r="AH40" i="4" s="1"/>
  <c r="AH39" i="4" s="1"/>
  <c r="AH38" i="4" s="1"/>
  <c r="AH37" i="4" s="1"/>
  <c r="AH36" i="4" s="1"/>
  <c r="AH35" i="4" s="1"/>
  <c r="AH34" i="4" s="1"/>
  <c r="AH33" i="4" s="1"/>
  <c r="AH32" i="4" s="1"/>
  <c r="AH31" i="4" s="1"/>
  <c r="AH30" i="4" s="1"/>
  <c r="AH29" i="4" s="1"/>
  <c r="AH28" i="4" s="1"/>
  <c r="AH27" i="4" s="1"/>
  <c r="AH26" i="4" s="1"/>
  <c r="AH25" i="4" s="1"/>
  <c r="AH24" i="4" s="1"/>
  <c r="AH23" i="4" s="1"/>
  <c r="AN53" i="4"/>
  <c r="AN52" i="4" s="1"/>
  <c r="AN51" i="4" s="1"/>
  <c r="AN50" i="4" s="1"/>
  <c r="AN49" i="4" s="1"/>
  <c r="AN48" i="4" s="1"/>
  <c r="AN47" i="4" s="1"/>
  <c r="AN46" i="4" s="1"/>
  <c r="AN45" i="4" s="1"/>
  <c r="AN44" i="4" s="1"/>
  <c r="AN43" i="4" s="1"/>
  <c r="AN42" i="4" s="1"/>
  <c r="AN41" i="4" s="1"/>
  <c r="AN40" i="4" s="1"/>
  <c r="AN39" i="4" s="1"/>
  <c r="AN38" i="4" s="1"/>
  <c r="AN37" i="4" s="1"/>
  <c r="AN36" i="4" s="1"/>
  <c r="AN35" i="4" s="1"/>
  <c r="AN34" i="4" s="1"/>
  <c r="AN33" i="4" s="1"/>
  <c r="AN32" i="4" s="1"/>
  <c r="AN31" i="4" s="1"/>
  <c r="AN30" i="4" s="1"/>
  <c r="AN29" i="4" s="1"/>
  <c r="AN28" i="4" s="1"/>
  <c r="AN27" i="4" s="1"/>
  <c r="AN26" i="4" s="1"/>
  <c r="AN25" i="4" s="1"/>
  <c r="AN24" i="4" s="1"/>
  <c r="AN23" i="4" s="1"/>
  <c r="AN22" i="4" s="1"/>
  <c r="AN21" i="4" s="1"/>
  <c r="AN20" i="4" s="1"/>
  <c r="AN19" i="4" s="1"/>
  <c r="AN18" i="4" s="1"/>
  <c r="AN17" i="4" s="1"/>
  <c r="AN16" i="4" s="1"/>
  <c r="AN15" i="4" s="1"/>
  <c r="AN14" i="4" s="1"/>
  <c r="AN13" i="4" s="1"/>
  <c r="AN12" i="4" s="1"/>
  <c r="AN11" i="4" s="1"/>
  <c r="AK53" i="4"/>
  <c r="AK52" i="4" s="1"/>
  <c r="AK51" i="4" s="1"/>
  <c r="AK50" i="4" s="1"/>
  <c r="AK49" i="4" s="1"/>
  <c r="AK48" i="4" s="1"/>
  <c r="AK47" i="4" s="1"/>
  <c r="AK46" i="4" s="1"/>
  <c r="AK45" i="4" s="1"/>
  <c r="AI53" i="4"/>
  <c r="AI52" i="4" s="1"/>
  <c r="AI51" i="4" s="1"/>
  <c r="AI50" i="4" s="1"/>
  <c r="AI49" i="4" s="1"/>
  <c r="AI48" i="4" s="1"/>
  <c r="AI47" i="4" s="1"/>
  <c r="AI46" i="4" s="1"/>
  <c r="AI45" i="4" s="1"/>
  <c r="AI44" i="4" s="1"/>
  <c r="AI43" i="4" s="1"/>
  <c r="AI42" i="4" s="1"/>
  <c r="AI41" i="4" s="1"/>
  <c r="AI40" i="4" s="1"/>
  <c r="AI39" i="4" s="1"/>
  <c r="AI38" i="4" s="1"/>
  <c r="AI37" i="4" s="1"/>
  <c r="AI36" i="4" s="1"/>
  <c r="AI35" i="4" s="1"/>
  <c r="AI34" i="4" s="1"/>
  <c r="AG53" i="4"/>
  <c r="AG52" i="4" s="1"/>
  <c r="AG51" i="4" s="1"/>
  <c r="AG50" i="4" s="1"/>
  <c r="AG49" i="4" s="1"/>
  <c r="AG48" i="4" s="1"/>
  <c r="AG47" i="4" s="1"/>
  <c r="AG46" i="4" s="1"/>
  <c r="AG45" i="4" s="1"/>
  <c r="AG44" i="4" s="1"/>
  <c r="Q2" i="4"/>
  <c r="U30" i="6"/>
  <c r="O53" i="4"/>
  <c r="P53" i="4" s="1"/>
  <c r="Q53" i="4" s="1"/>
  <c r="R53" i="4" s="1"/>
  <c r="S53" i="4" s="1"/>
  <c r="T53" i="4" s="1"/>
  <c r="O52" i="4"/>
  <c r="P52" i="4" s="1"/>
  <c r="Q52" i="4" s="1"/>
  <c r="R52" i="4" s="1"/>
  <c r="S52" i="4" s="1"/>
  <c r="T52" i="4" s="1"/>
  <c r="O51" i="4"/>
  <c r="P51" i="4" s="1"/>
  <c r="Q51" i="4" s="1"/>
  <c r="R51" i="4" s="1"/>
  <c r="S51" i="4" s="1"/>
  <c r="T51" i="4" s="1"/>
  <c r="O50" i="4"/>
  <c r="P50" i="4" s="1"/>
  <c r="Q50" i="4" s="1"/>
  <c r="R50" i="4" s="1"/>
  <c r="S50" i="4" s="1"/>
  <c r="T50" i="4" s="1"/>
  <c r="O49" i="4"/>
  <c r="P49" i="4" s="1"/>
  <c r="Q49" i="4" s="1"/>
  <c r="R49" i="4" s="1"/>
  <c r="S49" i="4" s="1"/>
  <c r="T49" i="4" s="1"/>
  <c r="O48" i="4"/>
  <c r="P48" i="4" s="1"/>
  <c r="Q48" i="4" s="1"/>
  <c r="R48" i="4" s="1"/>
  <c r="S48" i="4" s="1"/>
  <c r="T48" i="4" s="1"/>
  <c r="O47" i="4"/>
  <c r="P47" i="4" s="1"/>
  <c r="Q47" i="4" s="1"/>
  <c r="R47" i="4" s="1"/>
  <c r="S47" i="4" s="1"/>
  <c r="T47" i="4" s="1"/>
  <c r="O46" i="4"/>
  <c r="P46" i="4" s="1"/>
  <c r="Q46" i="4" s="1"/>
  <c r="R46" i="4" s="1"/>
  <c r="S46" i="4" s="1"/>
  <c r="T46" i="4" s="1"/>
  <c r="O45" i="4"/>
  <c r="P45" i="4" s="1"/>
  <c r="Q45" i="4" s="1"/>
  <c r="R45" i="4" s="1"/>
  <c r="S45" i="4" s="1"/>
  <c r="T45" i="4" s="1"/>
  <c r="O44" i="4"/>
  <c r="P44" i="4" s="1"/>
  <c r="Q44" i="4" s="1"/>
  <c r="R44" i="4" s="1"/>
  <c r="S44" i="4" s="1"/>
  <c r="T44" i="4" s="1"/>
  <c r="O43" i="4"/>
  <c r="P43" i="4" s="1"/>
  <c r="Q43" i="4" s="1"/>
  <c r="O42" i="4"/>
  <c r="P42" i="4" s="1"/>
  <c r="Q42" i="4" s="1"/>
  <c r="R42" i="4" s="1"/>
  <c r="O41" i="4"/>
  <c r="O40" i="4"/>
  <c r="P40" i="4" s="1"/>
  <c r="Q40" i="4" s="1"/>
  <c r="O39" i="4"/>
  <c r="P39" i="4" s="1"/>
  <c r="O38" i="4"/>
  <c r="P38" i="4" s="1"/>
  <c r="Q38" i="4" s="1"/>
  <c r="R38" i="4" s="1"/>
  <c r="O37" i="4"/>
  <c r="P37" i="4" s="1"/>
  <c r="Q37" i="4" s="1"/>
  <c r="O36" i="4"/>
  <c r="O35" i="4"/>
  <c r="O34" i="4"/>
  <c r="P34" i="4" s="1"/>
  <c r="Q34" i="4" s="1"/>
  <c r="O33" i="4"/>
  <c r="P33" i="4" s="1"/>
  <c r="Q33" i="4" s="1"/>
  <c r="O32" i="4"/>
  <c r="O31" i="4"/>
  <c r="O30" i="4"/>
  <c r="P30" i="4" s="1"/>
  <c r="Q30" i="4" s="1"/>
  <c r="O29" i="4"/>
  <c r="O28" i="4"/>
  <c r="O27" i="4"/>
  <c r="O26" i="4"/>
  <c r="P26" i="4" s="1"/>
  <c r="Q26" i="4" s="1"/>
  <c r="R26" i="4" s="1"/>
  <c r="S26" i="4" s="1"/>
  <c r="T26" i="4" s="1"/>
  <c r="U26" i="4" s="1"/>
  <c r="O25" i="4"/>
  <c r="O24" i="4"/>
  <c r="O23" i="4"/>
  <c r="P23" i="4" s="1"/>
  <c r="Q23" i="4" s="1"/>
  <c r="O22" i="4"/>
  <c r="O21" i="4"/>
  <c r="O20" i="4"/>
  <c r="O19" i="4"/>
  <c r="O18" i="4"/>
  <c r="P18" i="4" s="1"/>
  <c r="Q18" i="4" s="1"/>
  <c r="O17" i="4"/>
  <c r="P17" i="4" s="1"/>
  <c r="Q17" i="4" s="1"/>
  <c r="R17" i="4" s="1"/>
  <c r="S17" i="4" s="1"/>
  <c r="T17" i="4" s="1"/>
  <c r="O16" i="4"/>
  <c r="O15" i="4"/>
  <c r="O14" i="4"/>
  <c r="O13" i="4"/>
  <c r="P13" i="4" s="1"/>
  <c r="Q13" i="4" s="1"/>
  <c r="R13" i="4" s="1"/>
  <c r="S13" i="4" s="1"/>
  <c r="T13" i="4" s="1"/>
  <c r="O12" i="4"/>
  <c r="O11" i="4"/>
  <c r="P11" i="4" s="1"/>
  <c r="O10" i="4"/>
  <c r="P10" i="4" s="1"/>
  <c r="Q10" i="4" s="1"/>
  <c r="R10" i="4" s="1"/>
  <c r="S10" i="4" s="1"/>
  <c r="T10" i="4" s="1"/>
  <c r="U10" i="4" s="1"/>
  <c r="O9" i="4"/>
  <c r="P9" i="4" s="1"/>
  <c r="Q9" i="4" s="1"/>
  <c r="O8" i="4"/>
  <c r="O7" i="4"/>
  <c r="O6" i="4"/>
  <c r="P6" i="4" s="1"/>
  <c r="Q6" i="4" s="1"/>
  <c r="O5" i="4"/>
  <c r="P5" i="4" s="1"/>
  <c r="Q5" i="4" s="1"/>
  <c r="O4" i="4"/>
  <c r="K47" i="3"/>
  <c r="U4" i="3" s="1"/>
  <c r="K48" i="3"/>
  <c r="K49" i="3"/>
  <c r="K50" i="3"/>
  <c r="K51" i="3"/>
  <c r="D51" i="3"/>
  <c r="D50" i="3"/>
  <c r="D49" i="3"/>
  <c r="D48" i="3"/>
  <c r="D47" i="3"/>
  <c r="N4" i="3" s="1"/>
  <c r="B51" i="3"/>
  <c r="B50" i="3"/>
  <c r="B49" i="3"/>
  <c r="B48" i="3"/>
  <c r="B47" i="3"/>
  <c r="C3" i="3"/>
  <c r="C4" i="3" s="1"/>
  <c r="K1" i="3"/>
  <c r="J1" i="3"/>
  <c r="I1" i="3"/>
  <c r="H1" i="3"/>
  <c r="G1" i="3"/>
  <c r="F1" i="3"/>
  <c r="E1" i="3"/>
  <c r="D1" i="3"/>
  <c r="AD1" i="2"/>
  <c r="Z1" i="2"/>
  <c r="AB56" i="2" s="1"/>
  <c r="V1" i="2"/>
  <c r="R1" i="2"/>
  <c r="N1" i="2"/>
  <c r="J1" i="2"/>
  <c r="F1" i="2"/>
  <c r="B1" i="2"/>
  <c r="R2" i="5"/>
  <c r="Q2" i="5"/>
  <c r="P2" i="5"/>
  <c r="O2" i="5"/>
  <c r="N2" i="5"/>
  <c r="M2" i="5"/>
  <c r="L2" i="5"/>
  <c r="K2" i="5"/>
  <c r="S3" i="5" s="1"/>
  <c r="T3" i="5" s="1"/>
  <c r="U3" i="5" s="1"/>
  <c r="V3" i="5" s="1"/>
  <c r="W3" i="5" s="1"/>
  <c r="X3" i="5" s="1"/>
  <c r="Y3" i="5" s="1"/>
  <c r="AK3" i="5" s="1"/>
  <c r="S10" i="5"/>
  <c r="T10" i="5" s="1"/>
  <c r="U10" i="5" s="1"/>
  <c r="V10" i="5" s="1"/>
  <c r="W10" i="5" s="1"/>
  <c r="X10" i="5" s="1"/>
  <c r="S9" i="5"/>
  <c r="T9" i="5" s="1"/>
  <c r="U9" i="5" s="1"/>
  <c r="V9" i="5" s="1"/>
  <c r="W9" i="5" s="1"/>
  <c r="X9" i="5" s="1"/>
  <c r="Y9" i="5" s="1"/>
  <c r="S8" i="5"/>
  <c r="T8" i="5" s="1"/>
  <c r="U8" i="5" s="1"/>
  <c r="V8" i="5" s="1"/>
  <c r="W8" i="5" s="1"/>
  <c r="X8" i="5" s="1"/>
  <c r="Y8" i="5" s="1"/>
  <c r="AK8" i="5" s="1"/>
  <c r="S7" i="5"/>
  <c r="T7" i="5" s="1"/>
  <c r="U7" i="5" s="1"/>
  <c r="V7" i="5" s="1"/>
  <c r="W7" i="5" s="1"/>
  <c r="X7" i="5" s="1"/>
  <c r="Y7" i="5" s="1"/>
  <c r="AK7" i="5" s="1"/>
  <c r="S6" i="5"/>
  <c r="T6" i="5" s="1"/>
  <c r="U6" i="5" s="1"/>
  <c r="V6" i="5" s="1"/>
  <c r="W6" i="5" s="1"/>
  <c r="X6" i="5" s="1"/>
  <c r="Y6" i="5" s="1"/>
  <c r="AK6" i="5" s="1"/>
  <c r="S5" i="5"/>
  <c r="T5" i="5" s="1"/>
  <c r="U5" i="5" s="1"/>
  <c r="V5" i="5" s="1"/>
  <c r="W5" i="5" s="1"/>
  <c r="X5" i="5" s="1"/>
  <c r="Y5" i="5" s="1"/>
  <c r="S4" i="5"/>
  <c r="T4" i="5" s="1"/>
  <c r="P22" i="4"/>
  <c r="P20" i="4"/>
  <c r="P32" i="4"/>
  <c r="P25" i="4"/>
  <c r="P19" i="4"/>
  <c r="P12" i="4"/>
  <c r="P31" i="4"/>
  <c r="P8" i="4"/>
  <c r="Q39" i="4"/>
  <c r="R5" i="4"/>
  <c r="S42" i="4"/>
  <c r="P35" i="4"/>
  <c r="P7" i="4"/>
  <c r="P41" i="4"/>
  <c r="P36" i="4"/>
  <c r="R18" i="4"/>
  <c r="R40" i="4"/>
  <c r="P4" i="4"/>
  <c r="S38" i="4"/>
  <c r="P16" i="4"/>
  <c r="P21" i="4"/>
  <c r="P24" i="4"/>
  <c r="R43" i="4"/>
  <c r="R37" i="4"/>
  <c r="P15" i="4"/>
  <c r="P14" i="4"/>
  <c r="P27" i="4"/>
  <c r="P29" i="4"/>
  <c r="P28" i="4"/>
  <c r="T42" i="4" l="1"/>
  <c r="T38" i="4"/>
  <c r="S43" i="4"/>
  <c r="T43" i="4" s="1"/>
  <c r="U43" i="4" s="1"/>
  <c r="W43" i="4" s="1"/>
  <c r="AG43" i="4" s="1"/>
  <c r="AG42" i="4" s="1"/>
  <c r="AG41" i="4" s="1"/>
  <c r="AG40" i="4" s="1"/>
  <c r="AG39" i="4" s="1"/>
  <c r="AG38" i="4" s="1"/>
  <c r="Q36" i="4"/>
  <c r="Q35" i="4"/>
  <c r="Q19" i="4"/>
  <c r="R19" i="4" s="1"/>
  <c r="Q41" i="4"/>
  <c r="S5" i="4"/>
  <c r="T5" i="4" s="1"/>
  <c r="U5" i="4" s="1"/>
  <c r="S18" i="4"/>
  <c r="T18" i="4" s="1"/>
  <c r="U18" i="4" s="1"/>
  <c r="Q25" i="4"/>
  <c r="R25" i="4" s="1"/>
  <c r="C90" i="10"/>
  <c r="C76" i="10"/>
  <c r="C62" i="10"/>
  <c r="C104" i="10"/>
  <c r="C48" i="10"/>
  <c r="Q12" i="4"/>
  <c r="R12" i="4" s="1"/>
  <c r="Q4" i="4"/>
  <c r="Q29" i="4"/>
  <c r="S37" i="4"/>
  <c r="T37" i="4" s="1"/>
  <c r="U37" i="4" s="1"/>
  <c r="W37" i="4" s="1"/>
  <c r="Q8" i="4"/>
  <c r="Q32" i="4"/>
  <c r="Q20" i="4"/>
  <c r="R20" i="4" s="1"/>
  <c r="Q27" i="4"/>
  <c r="Q15" i="4"/>
  <c r="AK9" i="5"/>
  <c r="C118" i="10"/>
  <c r="C34" i="10"/>
  <c r="Q24" i="4"/>
  <c r="U13" i="4"/>
  <c r="W13" i="4" s="1"/>
  <c r="U17" i="4"/>
  <c r="W17" i="4" s="1"/>
  <c r="U45" i="4"/>
  <c r="W45" i="4" s="1"/>
  <c r="AJ45" i="4" s="1"/>
  <c r="AJ44" i="4" s="1"/>
  <c r="AJ43" i="4" s="1"/>
  <c r="AJ42" i="4" s="1"/>
  <c r="AJ41" i="4" s="1"/>
  <c r="AJ40" i="4" s="1"/>
  <c r="AJ39" i="4" s="1"/>
  <c r="AJ38" i="4" s="1"/>
  <c r="AJ37" i="4" s="1"/>
  <c r="U47" i="4"/>
  <c r="W47" i="4" s="1"/>
  <c r="U49" i="4"/>
  <c r="W49" i="4" s="1"/>
  <c r="U51" i="4"/>
  <c r="W51" i="4" s="1"/>
  <c r="U53" i="4"/>
  <c r="W53" i="4" s="1"/>
  <c r="U38" i="4"/>
  <c r="W38" i="4" s="1"/>
  <c r="U42" i="4"/>
  <c r="W42" i="4" s="1"/>
  <c r="AL42" i="4" s="1"/>
  <c r="AL41" i="4" s="1"/>
  <c r="U44" i="4"/>
  <c r="W44" i="4" s="1"/>
  <c r="AK44" i="4" s="1"/>
  <c r="AK43" i="4" s="1"/>
  <c r="AK42" i="4" s="1"/>
  <c r="U46" i="4"/>
  <c r="W46" i="4" s="1"/>
  <c r="AM46" i="4" s="1"/>
  <c r="AM45" i="4" s="1"/>
  <c r="AM44" i="4" s="1"/>
  <c r="AM43" i="4" s="1"/>
  <c r="AM42" i="4" s="1"/>
  <c r="AM41" i="4" s="1"/>
  <c r="AM40" i="4" s="1"/>
  <c r="U48" i="4"/>
  <c r="W48" i="4" s="1"/>
  <c r="U50" i="4"/>
  <c r="W50" i="4" s="1"/>
  <c r="U52" i="4"/>
  <c r="W52" i="4" s="1"/>
  <c r="E149" i="3"/>
  <c r="E135" i="3"/>
  <c r="E132" i="3" s="1"/>
  <c r="G149" i="3"/>
  <c r="G135" i="3"/>
  <c r="G132" i="3" s="1"/>
  <c r="I149" i="3"/>
  <c r="I135" i="3"/>
  <c r="I132" i="3" s="1"/>
  <c r="K149" i="3"/>
  <c r="K135" i="3"/>
  <c r="K132" i="3" s="1"/>
  <c r="A53" i="10"/>
  <c r="A81" i="10"/>
  <c r="A109" i="10"/>
  <c r="A39" i="10"/>
  <c r="A67" i="10"/>
  <c r="A95" i="10"/>
  <c r="A123" i="10"/>
  <c r="D135" i="3"/>
  <c r="D132" i="3" s="1"/>
  <c r="A25" i="10"/>
  <c r="A43" i="10"/>
  <c r="B43" i="10" s="1"/>
  <c r="A51" i="10"/>
  <c r="A57" i="10"/>
  <c r="B57" i="10" s="1"/>
  <c r="A113" i="10"/>
  <c r="B113" i="10" s="1"/>
  <c r="A71" i="10"/>
  <c r="B71" i="10" s="1"/>
  <c r="A37" i="10"/>
  <c r="A99" i="10"/>
  <c r="B99" i="10" s="1"/>
  <c r="A29" i="10"/>
  <c r="B29" i="10" s="1"/>
  <c r="A85" i="10"/>
  <c r="B85" i="10" s="1"/>
  <c r="A15" i="10"/>
  <c r="B15" i="10" s="1"/>
  <c r="F149" i="3"/>
  <c r="F135" i="3"/>
  <c r="F132" i="3" s="1"/>
  <c r="H149" i="3"/>
  <c r="H135" i="3"/>
  <c r="H132" i="3" s="1"/>
  <c r="J149" i="3"/>
  <c r="J135" i="3"/>
  <c r="J132" i="3" s="1"/>
  <c r="A47" i="10"/>
  <c r="A103" i="10"/>
  <c r="A61" i="10"/>
  <c r="A117" i="10"/>
  <c r="A75" i="10"/>
  <c r="A33" i="10"/>
  <c r="A89" i="10"/>
  <c r="A19" i="10"/>
  <c r="AK5" i="5"/>
  <c r="D149" i="3"/>
  <c r="U5" i="3"/>
  <c r="Q21" i="4"/>
  <c r="Q22" i="4"/>
  <c r="Q14" i="4"/>
  <c r="U6" i="3"/>
  <c r="U7" i="3" s="1"/>
  <c r="U8" i="3" s="1"/>
  <c r="U9" i="3" s="1"/>
  <c r="N5" i="3"/>
  <c r="N6" i="3" s="1"/>
  <c r="N7" i="3" s="1"/>
  <c r="N8" i="3" s="1"/>
  <c r="N9" i="3" s="1"/>
  <c r="H59" i="2"/>
  <c r="H57" i="2"/>
  <c r="H58" i="2"/>
  <c r="H56" i="2"/>
  <c r="AQ3" i="2"/>
  <c r="P59" i="2"/>
  <c r="P57" i="2"/>
  <c r="P58" i="2"/>
  <c r="P56" i="2"/>
  <c r="AY3" i="2"/>
  <c r="X59" i="2"/>
  <c r="X57" i="2"/>
  <c r="X58" i="2"/>
  <c r="X56" i="2"/>
  <c r="BG3" i="2"/>
  <c r="AF59" i="2"/>
  <c r="AF57" i="2"/>
  <c r="AF58" i="2"/>
  <c r="AF56" i="2"/>
  <c r="BO3" i="2"/>
  <c r="AM3" i="2"/>
  <c r="D58" i="2"/>
  <c r="D56" i="2"/>
  <c r="AN31" i="2" s="1"/>
  <c r="D59" i="2"/>
  <c r="AN30" i="2" s="1"/>
  <c r="AO30" i="2" s="1"/>
  <c r="D57" i="2"/>
  <c r="L59" i="2"/>
  <c r="L57" i="2"/>
  <c r="L58" i="2"/>
  <c r="L56" i="2"/>
  <c r="AU3" i="2"/>
  <c r="T59" i="2"/>
  <c r="T57" i="2"/>
  <c r="T58" i="2"/>
  <c r="T56" i="2"/>
  <c r="BC3" i="2"/>
  <c r="AB59" i="2"/>
  <c r="BL11" i="2" s="1"/>
  <c r="AB57" i="2"/>
  <c r="BL10" i="2" s="1"/>
  <c r="AB58" i="2"/>
  <c r="BL7" i="2"/>
  <c r="BK3" i="2"/>
  <c r="R2" i="4"/>
  <c r="D78" i="3"/>
  <c r="D85" i="3" s="1"/>
  <c r="F78" i="3"/>
  <c r="F85" i="3" s="1"/>
  <c r="S1" i="8"/>
  <c r="S23" i="8" s="1"/>
  <c r="H78" i="3"/>
  <c r="H85" i="3" s="1"/>
  <c r="J78" i="3"/>
  <c r="AB55" i="2" s="1"/>
  <c r="E78" i="3"/>
  <c r="E85" i="3" s="1"/>
  <c r="G78" i="3"/>
  <c r="G85" i="3" s="1"/>
  <c r="I78" i="3"/>
  <c r="I85" i="3" s="1"/>
  <c r="K78" i="3"/>
  <c r="K85" i="3" s="1"/>
  <c r="O1" i="8"/>
  <c r="O23" i="8" s="1"/>
  <c r="AD4" i="5"/>
  <c r="AD8" i="5"/>
  <c r="AD3" i="5"/>
  <c r="AD7" i="5"/>
  <c r="AD6" i="5"/>
  <c r="AD10" i="5"/>
  <c r="AD5" i="5"/>
  <c r="AD9" i="5"/>
  <c r="C5" i="3"/>
  <c r="O22" i="8"/>
  <c r="S22" i="8"/>
  <c r="S20" i="8"/>
  <c r="S18" i="8"/>
  <c r="S16" i="8"/>
  <c r="S14" i="8"/>
  <c r="S12" i="8"/>
  <c r="S10" i="8"/>
  <c r="S8" i="8"/>
  <c r="S6" i="8"/>
  <c r="S4" i="8"/>
  <c r="S2" i="8"/>
  <c r="K53" i="3"/>
  <c r="A121" i="10" s="1"/>
  <c r="U4" i="5"/>
  <c r="V4" i="5" s="1"/>
  <c r="W4" i="5" s="1"/>
  <c r="X4" i="5" s="1"/>
  <c r="Y4" i="5" s="1"/>
  <c r="AK4" i="5" s="1"/>
  <c r="P1" i="8"/>
  <c r="R1" i="8"/>
  <c r="T1" i="8"/>
  <c r="V1" i="8"/>
  <c r="Q1" i="8"/>
  <c r="U1" i="8"/>
  <c r="L58" i="3"/>
  <c r="Y10" i="5"/>
  <c r="AK10" i="5" s="1"/>
  <c r="D53" i="3"/>
  <c r="F9" i="5"/>
  <c r="AL9" i="5" s="1"/>
  <c r="D2" i="8" s="1"/>
  <c r="E2" i="8" s="1"/>
  <c r="F5" i="5"/>
  <c r="AL5" i="5" s="1"/>
  <c r="D3" i="8" s="1"/>
  <c r="E3" i="8" s="1"/>
  <c r="F7" i="5"/>
  <c r="AL7" i="5" s="1"/>
  <c r="D4" i="8" s="1"/>
  <c r="E4" i="8" s="1"/>
  <c r="F6" i="5"/>
  <c r="AL6" i="5" s="1"/>
  <c r="F8" i="5"/>
  <c r="AL8" i="5" s="1"/>
  <c r="Q16" i="4"/>
  <c r="Q11" i="4"/>
  <c r="R6" i="4"/>
  <c r="R29" i="4"/>
  <c r="R36" i="4"/>
  <c r="R4" i="4"/>
  <c r="Q28" i="4"/>
  <c r="R21" i="4"/>
  <c r="R39" i="4"/>
  <c r="R24" i="4"/>
  <c r="Q31" i="4"/>
  <c r="R23" i="4"/>
  <c r="R15" i="4"/>
  <c r="R27" i="4"/>
  <c r="R8" i="4"/>
  <c r="R41" i="4"/>
  <c r="R9" i="4"/>
  <c r="R22" i="4"/>
  <c r="R34" i="4"/>
  <c r="Q7" i="4"/>
  <c r="R32" i="4"/>
  <c r="S40" i="4"/>
  <c r="R33" i="4"/>
  <c r="R35" i="4"/>
  <c r="R14" i="4"/>
  <c r="R30" i="4"/>
  <c r="BD38" i="2" l="1"/>
  <c r="BE38" i="2" s="1"/>
  <c r="BD46" i="2"/>
  <c r="BE46" i="2" s="1"/>
  <c r="BD44" i="2"/>
  <c r="BE44" i="2" s="1"/>
  <c r="BD42" i="2"/>
  <c r="BE42" i="2" s="1"/>
  <c r="BD41" i="2"/>
  <c r="BE41" i="2" s="1"/>
  <c r="BD39" i="2"/>
  <c r="BE39" i="2" s="1"/>
  <c r="BD37" i="2"/>
  <c r="BE37" i="2" s="1"/>
  <c r="AN26" i="2"/>
  <c r="AO26" i="2" s="1"/>
  <c r="AO31" i="2"/>
  <c r="AM31" i="2"/>
  <c r="AM30" i="2" s="1"/>
  <c r="BH44" i="2"/>
  <c r="BM11" i="2"/>
  <c r="BK11" i="2"/>
  <c r="BH33" i="2"/>
  <c r="BI33" i="2" s="1"/>
  <c r="BD34" i="2"/>
  <c r="BE34" i="2" s="1"/>
  <c r="T40" i="4"/>
  <c r="U40" i="4" s="1"/>
  <c r="W40" i="4" s="1"/>
  <c r="S39" i="4"/>
  <c r="T39" i="4" s="1"/>
  <c r="U39" i="4" s="1"/>
  <c r="W39" i="4" s="1"/>
  <c r="AM39" i="4" s="1"/>
  <c r="AM38" i="4" s="1"/>
  <c r="AM37" i="4" s="1"/>
  <c r="AM36" i="4" s="1"/>
  <c r="AM35" i="4" s="1"/>
  <c r="AM34" i="4" s="1"/>
  <c r="AM33" i="4" s="1"/>
  <c r="AM32" i="4" s="1"/>
  <c r="J85" i="3"/>
  <c r="J86" i="3" s="1"/>
  <c r="J87" i="3" s="1"/>
  <c r="J88" i="3" s="1"/>
  <c r="J89" i="3" s="1"/>
  <c r="S41" i="4"/>
  <c r="T41" i="4" s="1"/>
  <c r="U41" i="4" s="1"/>
  <c r="W41" i="4" s="1"/>
  <c r="AK41" i="4" s="1"/>
  <c r="AK40" i="4" s="1"/>
  <c r="AK39" i="4" s="1"/>
  <c r="AK38" i="4" s="1"/>
  <c r="AK37" i="4" s="1"/>
  <c r="AK36" i="4" s="1"/>
  <c r="AK35" i="4" s="1"/>
  <c r="AK34" i="4" s="1"/>
  <c r="AK33" i="4" s="1"/>
  <c r="AG37" i="4"/>
  <c r="AG36" i="4" s="1"/>
  <c r="AG35" i="4" s="1"/>
  <c r="AZ23" i="2"/>
  <c r="BA23" i="2" s="1"/>
  <c r="S36" i="4"/>
  <c r="T36" i="4" s="1"/>
  <c r="U36" i="4" s="1"/>
  <c r="W36" i="4" s="1"/>
  <c r="AJ36" i="4" s="1"/>
  <c r="S35" i="4"/>
  <c r="T35" i="4" s="1"/>
  <c r="U35" i="4" s="1"/>
  <c r="W35" i="4" s="1"/>
  <c r="S19" i="4"/>
  <c r="T19" i="4" s="1"/>
  <c r="U19" i="4" s="1"/>
  <c r="AZ34" i="2"/>
  <c r="BA34" i="2" s="1"/>
  <c r="AZ35" i="2"/>
  <c r="BA35" i="2" s="1"/>
  <c r="AZ38" i="2"/>
  <c r="BA38" i="2" s="1"/>
  <c r="AZ36" i="2"/>
  <c r="BA36" i="2" s="1"/>
  <c r="AZ33" i="2"/>
  <c r="BA33" i="2" s="1"/>
  <c r="AZ37" i="2"/>
  <c r="BA37" i="2" s="1"/>
  <c r="AZ32" i="2"/>
  <c r="BA32" i="2" s="1"/>
  <c r="AZ31" i="2"/>
  <c r="BA31" i="2" s="1"/>
  <c r="AZ30" i="2"/>
  <c r="BA30" i="2" s="1"/>
  <c r="AZ40" i="2"/>
  <c r="BA40" i="2" s="1"/>
  <c r="AZ17" i="2"/>
  <c r="BA17" i="2" s="1"/>
  <c r="AZ41" i="2"/>
  <c r="BA41" i="2" s="1"/>
  <c r="F3" i="5"/>
  <c r="AL3" i="5" s="1"/>
  <c r="A23" i="10"/>
  <c r="AN29" i="2"/>
  <c r="AN28" i="2"/>
  <c r="AO28" i="2" s="1"/>
  <c r="AL40" i="4"/>
  <c r="AL39" i="4" s="1"/>
  <c r="AL38" i="4" s="1"/>
  <c r="AL37" i="4" s="1"/>
  <c r="AL36" i="4" s="1"/>
  <c r="AL35" i="4" s="1"/>
  <c r="S22" i="4"/>
  <c r="T22" i="4" s="1"/>
  <c r="U22" i="4" s="1"/>
  <c r="BD18" i="2"/>
  <c r="BE18" i="2" s="1"/>
  <c r="AZ20" i="2"/>
  <c r="BA20" i="2" s="1"/>
  <c r="AZ21" i="2"/>
  <c r="BA21" i="2" s="1"/>
  <c r="AZ18" i="2"/>
  <c r="BA18" i="2" s="1"/>
  <c r="AN20" i="2"/>
  <c r="AO20" i="2" s="1"/>
  <c r="BD14" i="2"/>
  <c r="BE14" i="2" s="1"/>
  <c r="BD27" i="2"/>
  <c r="BE27" i="2" s="1"/>
  <c r="BD31" i="2"/>
  <c r="BE31" i="2" s="1"/>
  <c r="BD33" i="2"/>
  <c r="BD32" i="2"/>
  <c r="BE32" i="2" s="1"/>
  <c r="BM10" i="2"/>
  <c r="BK10" i="2"/>
  <c r="S12" i="4"/>
  <c r="T12" i="4" s="1"/>
  <c r="U12" i="4" s="1"/>
  <c r="S29" i="4"/>
  <c r="T29" i="4" s="1"/>
  <c r="U29" i="4" s="1"/>
  <c r="W29" i="4" s="1"/>
  <c r="BD22" i="2"/>
  <c r="BE22" i="2" s="1"/>
  <c r="BD30" i="2"/>
  <c r="AV21" i="2"/>
  <c r="AW21" i="2" s="1"/>
  <c r="AV28" i="2"/>
  <c r="AV22" i="2"/>
  <c r="AW22" i="2" s="1"/>
  <c r="AV26" i="2"/>
  <c r="AW26" i="2" s="1"/>
  <c r="AV24" i="2"/>
  <c r="AW24" i="2" s="1"/>
  <c r="AV27" i="2"/>
  <c r="AW27" i="2" s="1"/>
  <c r="AV25" i="2"/>
  <c r="AW25" i="2" s="1"/>
  <c r="AV11" i="2"/>
  <c r="BH14" i="2"/>
  <c r="S14" i="4"/>
  <c r="T14" i="4" s="1"/>
  <c r="U14" i="4" s="1"/>
  <c r="S24" i="4"/>
  <c r="T24" i="4" s="1"/>
  <c r="U24" i="4" s="1"/>
  <c r="S21" i="4"/>
  <c r="T21" i="4" s="1"/>
  <c r="U21" i="4" s="1"/>
  <c r="AN15" i="2"/>
  <c r="AZ15" i="2"/>
  <c r="AZ16" i="2"/>
  <c r="BA15" i="2"/>
  <c r="AZ13" i="2"/>
  <c r="BA13" i="2" s="1"/>
  <c r="AZ11" i="2"/>
  <c r="BA11" i="2" s="1"/>
  <c r="AZ5" i="2"/>
  <c r="BA5" i="2" s="1"/>
  <c r="AZ14" i="2"/>
  <c r="AZ8" i="2"/>
  <c r="BA8" i="2" s="1"/>
  <c r="AZ9" i="2"/>
  <c r="BA9" i="2" s="1"/>
  <c r="AZ12" i="2"/>
  <c r="BA12" i="2" s="1"/>
  <c r="S20" i="4"/>
  <c r="T20" i="4" s="1"/>
  <c r="U20" i="4" s="1"/>
  <c r="AV8" i="2"/>
  <c r="AV9" i="2"/>
  <c r="AW8" i="2"/>
  <c r="AR8" i="2"/>
  <c r="AR9" i="2"/>
  <c r="AS8" i="2"/>
  <c r="D7" i="8"/>
  <c r="E7" i="8" s="1"/>
  <c r="F7" i="8" s="1"/>
  <c r="D9" i="8"/>
  <c r="E9" i="8" s="1"/>
  <c r="F9" i="8" s="1"/>
  <c r="AF8" i="5"/>
  <c r="F9" i="10" s="1"/>
  <c r="H9" i="10" s="1"/>
  <c r="AF7" i="5"/>
  <c r="F8" i="10" s="1"/>
  <c r="H8" i="10" s="1"/>
  <c r="AF9" i="5"/>
  <c r="F10" i="10" s="1"/>
  <c r="H10" i="10" s="1"/>
  <c r="AF5" i="5"/>
  <c r="F6" i="10" s="1"/>
  <c r="H6" i="10" s="1"/>
  <c r="F10" i="5"/>
  <c r="AL10" i="5" s="1"/>
  <c r="D131" i="3"/>
  <c r="D124" i="3"/>
  <c r="D168" i="3" s="1"/>
  <c r="D125" i="3"/>
  <c r="D126" i="3"/>
  <c r="D127" i="3"/>
  <c r="D128" i="3"/>
  <c r="D129" i="3"/>
  <c r="D130" i="3"/>
  <c r="K124" i="3"/>
  <c r="K168" i="3" s="1"/>
  <c r="K125" i="3"/>
  <c r="K126" i="3"/>
  <c r="K127" i="3"/>
  <c r="K128" i="3"/>
  <c r="K129" i="3"/>
  <c r="K130" i="3"/>
  <c r="K131" i="3"/>
  <c r="I124" i="3"/>
  <c r="I168" i="3" s="1"/>
  <c r="I125" i="3"/>
  <c r="I126" i="3"/>
  <c r="I127" i="3"/>
  <c r="I128" i="3"/>
  <c r="I129" i="3"/>
  <c r="I130" i="3"/>
  <c r="I131" i="3"/>
  <c r="G124" i="3"/>
  <c r="G168" i="3" s="1"/>
  <c r="G125" i="3"/>
  <c r="G126" i="3"/>
  <c r="G127" i="3"/>
  <c r="G128" i="3"/>
  <c r="G129" i="3"/>
  <c r="G130" i="3"/>
  <c r="G131" i="3"/>
  <c r="E124" i="3"/>
  <c r="E168" i="3" s="1"/>
  <c r="E125" i="3"/>
  <c r="E126" i="3"/>
  <c r="E127" i="3"/>
  <c r="E128" i="3"/>
  <c r="E129" i="3"/>
  <c r="E130" i="3"/>
  <c r="E131" i="3"/>
  <c r="J131" i="3"/>
  <c r="J124" i="3"/>
  <c r="J168" i="3" s="1"/>
  <c r="J125" i="3"/>
  <c r="J126" i="3"/>
  <c r="J127" i="3"/>
  <c r="J128" i="3"/>
  <c r="J129" i="3"/>
  <c r="J130" i="3"/>
  <c r="H131" i="3"/>
  <c r="H126" i="3"/>
  <c r="H127" i="3"/>
  <c r="H128" i="3"/>
  <c r="H129" i="3"/>
  <c r="H130" i="3"/>
  <c r="H124" i="3"/>
  <c r="H168" i="3" s="1"/>
  <c r="H125" i="3"/>
  <c r="F131" i="3"/>
  <c r="F124" i="3"/>
  <c r="F168" i="3" s="1"/>
  <c r="F125" i="3"/>
  <c r="F126" i="3"/>
  <c r="F127" i="3"/>
  <c r="F128" i="3"/>
  <c r="F129" i="3"/>
  <c r="F130" i="3"/>
  <c r="O6" i="8"/>
  <c r="O14" i="8"/>
  <c r="O2" i="8"/>
  <c r="O10" i="8"/>
  <c r="O18" i="8"/>
  <c r="S3" i="8"/>
  <c r="S5" i="8"/>
  <c r="S7" i="8"/>
  <c r="S9" i="8"/>
  <c r="S11" i="8"/>
  <c r="S13" i="8"/>
  <c r="S15" i="8"/>
  <c r="S17" i="8"/>
  <c r="S19" i="8"/>
  <c r="S21" i="8"/>
  <c r="O4" i="8"/>
  <c r="O8" i="8"/>
  <c r="O12" i="8"/>
  <c r="O16" i="8"/>
  <c r="O20" i="8"/>
  <c r="BL9" i="2"/>
  <c r="T55" i="2"/>
  <c r="BD36" i="2" s="1"/>
  <c r="L55" i="2"/>
  <c r="AF55" i="2"/>
  <c r="BP4" i="2" s="1"/>
  <c r="BQ4" i="2" s="1"/>
  <c r="X55" i="2"/>
  <c r="BH25" i="2" s="1"/>
  <c r="BI25" i="2" s="1"/>
  <c r="P55" i="2"/>
  <c r="AZ26" i="2" s="1"/>
  <c r="BA26" i="2" s="1"/>
  <c r="H55" i="2"/>
  <c r="AR12" i="2" s="1"/>
  <c r="U10" i="3"/>
  <c r="U11" i="3" s="1"/>
  <c r="U12" i="3" s="1"/>
  <c r="U13" i="3" s="1"/>
  <c r="U14" i="3" s="1"/>
  <c r="D55" i="2"/>
  <c r="N10" i="3"/>
  <c r="N11" i="3" s="1"/>
  <c r="N12" i="3" s="1"/>
  <c r="N13" i="3" s="1"/>
  <c r="N14" i="3" s="1"/>
  <c r="I86" i="3"/>
  <c r="I87" i="3" s="1"/>
  <c r="I88" i="3" s="1"/>
  <c r="I89" i="3" s="1"/>
  <c r="E86" i="3"/>
  <c r="E87" i="3" s="1"/>
  <c r="E88" i="3" s="1"/>
  <c r="E89" i="3" s="1"/>
  <c r="K86" i="3"/>
  <c r="K87" i="3" s="1"/>
  <c r="K88" i="3" s="1"/>
  <c r="K89" i="3" s="1"/>
  <c r="BH7" i="2"/>
  <c r="BI7" i="2" s="1"/>
  <c r="BM7" i="2"/>
  <c r="AR7" i="2"/>
  <c r="AR6" i="2"/>
  <c r="S8" i="4"/>
  <c r="T8" i="4" s="1"/>
  <c r="U8" i="4" s="1"/>
  <c r="S2" i="4"/>
  <c r="H86" i="3"/>
  <c r="H87" i="3" s="1"/>
  <c r="H88" i="3" s="1"/>
  <c r="H89" i="3" s="1"/>
  <c r="F86" i="3"/>
  <c r="F87" i="3" s="1"/>
  <c r="F88" i="3" s="1"/>
  <c r="F89" i="3" s="1"/>
  <c r="G86" i="3"/>
  <c r="G87" i="3" s="1"/>
  <c r="G88" i="3" s="1"/>
  <c r="G89" i="3" s="1"/>
  <c r="D86" i="3"/>
  <c r="D87" i="3" s="1"/>
  <c r="D88" i="3" s="1"/>
  <c r="D89" i="3" s="1"/>
  <c r="O3" i="8"/>
  <c r="O5" i="8"/>
  <c r="O7" i="8"/>
  <c r="O9" i="8"/>
  <c r="O11" i="8"/>
  <c r="O13" i="8"/>
  <c r="O15" i="8"/>
  <c r="O17" i="8"/>
  <c r="O19" i="8"/>
  <c r="O21" i="8"/>
  <c r="C6" i="3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4" i="8"/>
  <c r="U3" i="8"/>
  <c r="U2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Q2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V4" i="8"/>
  <c r="V3" i="8"/>
  <c r="V2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2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2" i="8"/>
  <c r="H61" i="3"/>
  <c r="A72" i="10" s="1"/>
  <c r="B72" i="10" s="1"/>
  <c r="AC7" i="5"/>
  <c r="AA7" i="5" s="1"/>
  <c r="F71" i="10" s="1"/>
  <c r="D61" i="3"/>
  <c r="AC3" i="5"/>
  <c r="AA3" i="5" s="1"/>
  <c r="F15" i="10" s="1"/>
  <c r="AF6" i="5"/>
  <c r="F3" i="8"/>
  <c r="F4" i="8"/>
  <c r="F4" i="5"/>
  <c r="AL4" i="5" s="1"/>
  <c r="F5" i="8"/>
  <c r="F6" i="8"/>
  <c r="R11" i="4"/>
  <c r="S33" i="4"/>
  <c r="S6" i="4"/>
  <c r="S32" i="4"/>
  <c r="R28" i="4"/>
  <c r="S4" i="4"/>
  <c r="S25" i="4"/>
  <c r="S15" i="4"/>
  <c r="S34" i="4"/>
  <c r="R7" i="4"/>
  <c r="S9" i="4"/>
  <c r="S27" i="4"/>
  <c r="R16" i="4"/>
  <c r="S23" i="4"/>
  <c r="S30" i="4"/>
  <c r="R31" i="4"/>
  <c r="BD15" i="2" l="1"/>
  <c r="BE15" i="2" s="1"/>
  <c r="BD20" i="2"/>
  <c r="BE20" i="2" s="1"/>
  <c r="BH30" i="2"/>
  <c r="BI30" i="2" s="1"/>
  <c r="BH41" i="2"/>
  <c r="BI41" i="2" s="1"/>
  <c r="BH42" i="2"/>
  <c r="BI42" i="2" s="1"/>
  <c r="BH43" i="2"/>
  <c r="BI43" i="2" s="1"/>
  <c r="BH37" i="2"/>
  <c r="BI37" i="2" s="1"/>
  <c r="BH38" i="2"/>
  <c r="BI38" i="2" s="1"/>
  <c r="BH40" i="2"/>
  <c r="BI40" i="2" s="1"/>
  <c r="BD17" i="2"/>
  <c r="BE17" i="2" s="1"/>
  <c r="BD47" i="2"/>
  <c r="BD45" i="2"/>
  <c r="BE45" i="2" s="1"/>
  <c r="BD43" i="2"/>
  <c r="BE43" i="2" s="1"/>
  <c r="BD40" i="2"/>
  <c r="BE40" i="2" s="1"/>
  <c r="BH36" i="2"/>
  <c r="BI36" i="2" s="1"/>
  <c r="BH35" i="2"/>
  <c r="BI35" i="2" s="1"/>
  <c r="BI44" i="2"/>
  <c r="BG44" i="2"/>
  <c r="BG43" i="2" s="1"/>
  <c r="BG42" i="2" s="1"/>
  <c r="BG41" i="2" s="1"/>
  <c r="BG40" i="2" s="1"/>
  <c r="BH18" i="2"/>
  <c r="BI18" i="2" s="1"/>
  <c r="BH29" i="2"/>
  <c r="BI29" i="2" s="1"/>
  <c r="BE36" i="2"/>
  <c r="BD28" i="2"/>
  <c r="BE28" i="2" s="1"/>
  <c r="BD35" i="2"/>
  <c r="BE35" i="2" s="1"/>
  <c r="BH31" i="2"/>
  <c r="BI31" i="2" s="1"/>
  <c r="S28" i="4"/>
  <c r="T28" i="4" s="1"/>
  <c r="U28" i="4" s="1"/>
  <c r="W28" i="4" s="1"/>
  <c r="BH16" i="2"/>
  <c r="BI16" i="2" s="1"/>
  <c r="AZ27" i="2"/>
  <c r="BA27" i="2" s="1"/>
  <c r="AZ29" i="2"/>
  <c r="BA29" i="2" s="1"/>
  <c r="AZ28" i="2"/>
  <c r="BA28" i="2" s="1"/>
  <c r="F169" i="3"/>
  <c r="F170" i="3" s="1"/>
  <c r="F171" i="3" s="1"/>
  <c r="F172" i="3" s="1"/>
  <c r="F173" i="3" s="1"/>
  <c r="F174" i="3" s="1"/>
  <c r="F175" i="3" s="1"/>
  <c r="AJ5" i="5" s="1"/>
  <c r="J169" i="3"/>
  <c r="D169" i="3"/>
  <c r="D170" i="3" s="1"/>
  <c r="D171" i="3" s="1"/>
  <c r="D172" i="3" s="1"/>
  <c r="D173" i="3" s="1"/>
  <c r="D174" i="3" s="1"/>
  <c r="D175" i="3" s="1"/>
  <c r="AJ3" i="5" s="1"/>
  <c r="J170" i="3"/>
  <c r="J171" i="3" s="1"/>
  <c r="J172" i="3" s="1"/>
  <c r="J173" i="3" s="1"/>
  <c r="J174" i="3" s="1"/>
  <c r="J175" i="3" s="1"/>
  <c r="H169" i="3"/>
  <c r="H170" i="3" s="1"/>
  <c r="H171" i="3" s="1"/>
  <c r="H172" i="3" s="1"/>
  <c r="H173" i="3" s="1"/>
  <c r="H174" i="3" s="1"/>
  <c r="H175" i="3" s="1"/>
  <c r="E169" i="3"/>
  <c r="E170" i="3" s="1"/>
  <c r="E171" i="3" s="1"/>
  <c r="E172" i="3" s="1"/>
  <c r="E173" i="3" s="1"/>
  <c r="E174" i="3" s="1"/>
  <c r="E175" i="3" s="1"/>
  <c r="G169" i="3"/>
  <c r="G170" i="3" s="1"/>
  <c r="G171" i="3" s="1"/>
  <c r="G172" i="3" s="1"/>
  <c r="G173" i="3" s="1"/>
  <c r="G174" i="3" s="1"/>
  <c r="G175" i="3" s="1"/>
  <c r="AJ6" i="5" s="1"/>
  <c r="I169" i="3"/>
  <c r="I170" i="3" s="1"/>
  <c r="I171" i="3" s="1"/>
  <c r="I172" i="3" s="1"/>
  <c r="I173" i="3" s="1"/>
  <c r="I174" i="3" s="1"/>
  <c r="I175" i="3" s="1"/>
  <c r="BD29" i="2"/>
  <c r="BE29" i="2" s="1"/>
  <c r="T32" i="4"/>
  <c r="U32" i="4" s="1"/>
  <c r="W32" i="4" s="1"/>
  <c r="AK32" i="4" s="1"/>
  <c r="AK31" i="4" s="1"/>
  <c r="AK30" i="4" s="1"/>
  <c r="AK29" i="4" s="1"/>
  <c r="BD12" i="2"/>
  <c r="BE12" i="2" s="1"/>
  <c r="BD19" i="2"/>
  <c r="BE19" i="2" s="1"/>
  <c r="AZ25" i="2"/>
  <c r="BA25" i="2" s="1"/>
  <c r="AZ24" i="2"/>
  <c r="BA24" i="2" s="1"/>
  <c r="BH23" i="2"/>
  <c r="BI23" i="2" s="1"/>
  <c r="AF3" i="5"/>
  <c r="F4" i="10" s="1"/>
  <c r="H4" i="10" s="1"/>
  <c r="AJ35" i="4"/>
  <c r="AJ34" i="4" s="1"/>
  <c r="AJ33" i="4" s="1"/>
  <c r="AJ32" i="4" s="1"/>
  <c r="AJ31" i="4" s="1"/>
  <c r="AJ30" i="4" s="1"/>
  <c r="AJ29" i="4" s="1"/>
  <c r="AJ28" i="4" s="1"/>
  <c r="AJ27" i="4" s="1"/>
  <c r="AJ26" i="4" s="1"/>
  <c r="AJ25" i="4" s="1"/>
  <c r="AJ24" i="4" s="1"/>
  <c r="AJ23" i="4" s="1"/>
  <c r="AJ22" i="4" s="1"/>
  <c r="AJ21" i="4" s="1"/>
  <c r="AJ20" i="4" s="1"/>
  <c r="AZ6" i="2"/>
  <c r="BA6" i="2" s="1"/>
  <c r="AZ19" i="2"/>
  <c r="AZ22" i="2"/>
  <c r="BA22" i="2" s="1"/>
  <c r="AZ42" i="2"/>
  <c r="AZ39" i="2"/>
  <c r="AN23" i="2"/>
  <c r="AO23" i="2" s="1"/>
  <c r="AN27" i="2"/>
  <c r="AO27" i="2" s="1"/>
  <c r="AN19" i="2"/>
  <c r="AO19" i="2" s="1"/>
  <c r="AN21" i="2"/>
  <c r="AO21" i="2" s="1"/>
  <c r="AO29" i="2"/>
  <c r="AM29" i="2"/>
  <c r="AM28" i="2" s="1"/>
  <c r="AM27" i="2" s="1"/>
  <c r="AM26" i="2" s="1"/>
  <c r="BH17" i="2"/>
  <c r="BI17" i="2" s="1"/>
  <c r="BH19" i="2"/>
  <c r="BI19" i="2" s="1"/>
  <c r="BH9" i="2"/>
  <c r="BI9" i="2" s="1"/>
  <c r="BH32" i="2"/>
  <c r="BI32" i="2" s="1"/>
  <c r="BH39" i="2"/>
  <c r="BI39" i="2" s="1"/>
  <c r="BH34" i="2"/>
  <c r="BI34" i="2" s="1"/>
  <c r="BH27" i="2"/>
  <c r="BI27" i="2" s="1"/>
  <c r="T30" i="4"/>
  <c r="U30" i="4" s="1"/>
  <c r="W30" i="4" s="1"/>
  <c r="T34" i="4"/>
  <c r="U34" i="4" s="1"/>
  <c r="W34" i="4" s="1"/>
  <c r="AL34" i="4" s="1"/>
  <c r="T33" i="4"/>
  <c r="U33" i="4" s="1"/>
  <c r="W33" i="4" s="1"/>
  <c r="BA19" i="2"/>
  <c r="AN17" i="2"/>
  <c r="AO17" i="2" s="1"/>
  <c r="AN25" i="2"/>
  <c r="AN24" i="2"/>
  <c r="AO24" i="2" s="1"/>
  <c r="AN22" i="2"/>
  <c r="AO22" i="2" s="1"/>
  <c r="AN18" i="2"/>
  <c r="AO18" i="2" s="1"/>
  <c r="AN11" i="2"/>
  <c r="AO11" i="2" s="1"/>
  <c r="AN9" i="2"/>
  <c r="AO9" i="2" s="1"/>
  <c r="AN10" i="2"/>
  <c r="AO10" i="2" s="1"/>
  <c r="BD16" i="2"/>
  <c r="BE16" i="2" s="1"/>
  <c r="BD13" i="2"/>
  <c r="BE13" i="2" s="1"/>
  <c r="BE33" i="2"/>
  <c r="BD7" i="2"/>
  <c r="BE7" i="2" s="1"/>
  <c r="BD26" i="2"/>
  <c r="BE26" i="2" s="1"/>
  <c r="BD24" i="2"/>
  <c r="BE24" i="2" s="1"/>
  <c r="AI33" i="4"/>
  <c r="AI32" i="4" s="1"/>
  <c r="AI31" i="4" s="1"/>
  <c r="AI30" i="4" s="1"/>
  <c r="AI29" i="4" s="1"/>
  <c r="AI28" i="4" s="1"/>
  <c r="AI27" i="4" s="1"/>
  <c r="S7" i="4"/>
  <c r="T7" i="4" s="1"/>
  <c r="U7" i="4" s="1"/>
  <c r="W7" i="4" s="1"/>
  <c r="BM9" i="2"/>
  <c r="BK9" i="2"/>
  <c r="BL4" i="2"/>
  <c r="BM4" i="2" s="1"/>
  <c r="BL8" i="2"/>
  <c r="AN16" i="2"/>
  <c r="T23" i="4"/>
  <c r="U23" i="4" s="1"/>
  <c r="W23" i="4" s="1"/>
  <c r="AV10" i="2"/>
  <c r="AW10" i="2" s="1"/>
  <c r="AV12" i="2"/>
  <c r="AW12" i="2" s="1"/>
  <c r="BD9" i="2"/>
  <c r="BE9" i="2" s="1"/>
  <c r="BD6" i="2"/>
  <c r="BE6" i="2" s="1"/>
  <c r="BD23" i="2"/>
  <c r="BE23" i="2" s="1"/>
  <c r="BD21" i="2"/>
  <c r="BE21" i="2" s="1"/>
  <c r="BD25" i="2"/>
  <c r="BE30" i="2"/>
  <c r="BH24" i="2"/>
  <c r="BI24" i="2" s="1"/>
  <c r="BH11" i="2"/>
  <c r="BI11" i="2" s="1"/>
  <c r="BH15" i="2"/>
  <c r="BI15" i="2" s="1"/>
  <c r="BH13" i="2"/>
  <c r="BI13" i="2" s="1"/>
  <c r="BH8" i="2"/>
  <c r="BI8" i="2" s="1"/>
  <c r="BH28" i="2"/>
  <c r="BI28" i="2" s="1"/>
  <c r="BH26" i="2"/>
  <c r="BI26" i="2" s="1"/>
  <c r="BH22" i="2"/>
  <c r="BI22" i="2" s="1"/>
  <c r="BH21" i="2"/>
  <c r="BI21" i="2" s="1"/>
  <c r="BH20" i="2"/>
  <c r="BI20" i="2" s="1"/>
  <c r="AW28" i="2"/>
  <c r="AU28" i="2"/>
  <c r="AU27" i="2" s="1"/>
  <c r="AU26" i="2" s="1"/>
  <c r="AU25" i="2" s="1"/>
  <c r="AU24" i="2" s="1"/>
  <c r="AV7" i="2"/>
  <c r="AW7" i="2" s="1"/>
  <c r="AV23" i="2"/>
  <c r="AW23" i="2" s="1"/>
  <c r="AW11" i="2"/>
  <c r="BI14" i="2"/>
  <c r="AO15" i="2"/>
  <c r="AN13" i="2"/>
  <c r="AO13" i="2" s="1"/>
  <c r="AN14" i="2"/>
  <c r="BH6" i="2"/>
  <c r="BI6" i="2" s="1"/>
  <c r="BH12" i="2"/>
  <c r="AS12" i="2"/>
  <c r="AQ12" i="2"/>
  <c r="BA16" i="2"/>
  <c r="H58" i="3"/>
  <c r="AM7" i="5" s="1"/>
  <c r="B73" i="10" s="1"/>
  <c r="AJ7" i="5"/>
  <c r="AJ9" i="5"/>
  <c r="AJ4" i="5"/>
  <c r="AJ8" i="5"/>
  <c r="AZ7" i="2"/>
  <c r="BA7" i="2" s="1"/>
  <c r="AZ4" i="2"/>
  <c r="BA4" i="2" s="1"/>
  <c r="AZ10" i="2"/>
  <c r="BA10" i="2" s="1"/>
  <c r="BA14" i="2"/>
  <c r="AW9" i="2"/>
  <c r="AR4" i="2"/>
  <c r="AS4" i="2" s="1"/>
  <c r="AR11" i="2"/>
  <c r="AR10" i="2"/>
  <c r="AN7" i="2"/>
  <c r="AO7" i="2" s="1"/>
  <c r="AN12" i="2"/>
  <c r="BD10" i="2"/>
  <c r="BE10" i="2" s="1"/>
  <c r="BD11" i="2"/>
  <c r="AS9" i="2"/>
  <c r="T25" i="4"/>
  <c r="U25" i="4" s="1"/>
  <c r="W25" i="4" s="1"/>
  <c r="T27" i="4"/>
  <c r="U27" i="4" s="1"/>
  <c r="W27" i="4" s="1"/>
  <c r="T15" i="4"/>
  <c r="U15" i="4" s="1"/>
  <c r="W15" i="4" s="1"/>
  <c r="BD5" i="2"/>
  <c r="BE5" i="2" s="1"/>
  <c r="BD8" i="2"/>
  <c r="C19" i="10"/>
  <c r="K169" i="3"/>
  <c r="K170" i="3" s="1"/>
  <c r="K171" i="3" s="1"/>
  <c r="K172" i="3" s="1"/>
  <c r="K173" i="3" s="1"/>
  <c r="K174" i="3" s="1"/>
  <c r="K175" i="3" s="1"/>
  <c r="AF10" i="5"/>
  <c r="F11" i="10" s="1"/>
  <c r="H11" i="10" s="1"/>
  <c r="A16" i="10"/>
  <c r="B16" i="10" s="1"/>
  <c r="AN8" i="2"/>
  <c r="C117" i="10"/>
  <c r="C103" i="10"/>
  <c r="C89" i="10"/>
  <c r="C75" i="10"/>
  <c r="C61" i="10"/>
  <c r="C47" i="10"/>
  <c r="C33" i="10"/>
  <c r="F7" i="10"/>
  <c r="H7" i="10" s="1"/>
  <c r="BP5" i="2"/>
  <c r="BQ5" i="2" s="1"/>
  <c r="AD64" i="2" s="1"/>
  <c r="A116" i="10" s="1"/>
  <c r="BD4" i="2"/>
  <c r="BE4" i="2" s="1"/>
  <c r="BL5" i="2"/>
  <c r="BM5" i="2" s="1"/>
  <c r="E58" i="3"/>
  <c r="AM4" i="5" s="1"/>
  <c r="G58" i="3"/>
  <c r="AM6" i="5" s="1"/>
  <c r="I58" i="3"/>
  <c r="AM8" i="5" s="1"/>
  <c r="AV5" i="2"/>
  <c r="AW5" i="2" s="1"/>
  <c r="BH5" i="2"/>
  <c r="BI5" i="2" s="1"/>
  <c r="W18" i="4"/>
  <c r="W20" i="4"/>
  <c r="W22" i="4"/>
  <c r="W24" i="4"/>
  <c r="W26" i="4"/>
  <c r="AN5" i="2"/>
  <c r="AO5" i="2" s="1"/>
  <c r="AV6" i="2"/>
  <c r="AW6" i="2" s="1"/>
  <c r="BL6" i="2"/>
  <c r="BM6" i="2" s="1"/>
  <c r="AR5" i="2"/>
  <c r="AS5" i="2" s="1"/>
  <c r="BH10" i="2"/>
  <c r="K58" i="3"/>
  <c r="W5" i="4"/>
  <c r="W14" i="4"/>
  <c r="AN4" i="2"/>
  <c r="AO4" i="2" s="1"/>
  <c r="AN6" i="2"/>
  <c r="AO6" i="2" s="1"/>
  <c r="AV4" i="2"/>
  <c r="AW4" i="2" s="1"/>
  <c r="BH4" i="2"/>
  <c r="BI4" i="2" s="1"/>
  <c r="D58" i="3"/>
  <c r="J58" i="3"/>
  <c r="AM9" i="5" s="1"/>
  <c r="W10" i="4"/>
  <c r="AN10" i="4" s="1"/>
  <c r="AN9" i="4" s="1"/>
  <c r="AN8" i="4" s="1"/>
  <c r="AN7" i="4" s="1"/>
  <c r="AN6" i="4" s="1"/>
  <c r="AN5" i="4" s="1"/>
  <c r="AN4" i="4" s="1"/>
  <c r="AI10" i="5" s="1"/>
  <c r="W12" i="4"/>
  <c r="W8" i="4"/>
  <c r="W19" i="4"/>
  <c r="W21" i="4"/>
  <c r="AS7" i="2"/>
  <c r="AS6" i="2"/>
  <c r="T9" i="4"/>
  <c r="T6" i="4"/>
  <c r="C7" i="3"/>
  <c r="E61" i="3"/>
  <c r="AC4" i="5"/>
  <c r="AA4" i="5" s="1"/>
  <c r="F29" i="10" s="1"/>
  <c r="G61" i="3"/>
  <c r="AC6" i="5"/>
  <c r="AA6" i="5" s="1"/>
  <c r="F57" i="10" s="1"/>
  <c r="I61" i="3"/>
  <c r="AC8" i="5"/>
  <c r="AA8" i="5" s="1"/>
  <c r="F85" i="10" s="1"/>
  <c r="K61" i="3"/>
  <c r="AC10" i="5"/>
  <c r="AA10" i="5" s="1"/>
  <c r="F113" i="10" s="1"/>
  <c r="F61" i="3"/>
  <c r="A44" i="10" s="1"/>
  <c r="B44" i="10" s="1"/>
  <c r="AC5" i="5"/>
  <c r="AA5" i="5" s="1"/>
  <c r="F43" i="10" s="1"/>
  <c r="J61" i="3"/>
  <c r="A100" i="10" s="1"/>
  <c r="B100" i="10" s="1"/>
  <c r="AC9" i="5"/>
  <c r="AA9" i="5" s="1"/>
  <c r="F99" i="10" s="1"/>
  <c r="F2" i="8"/>
  <c r="AF4" i="5"/>
  <c r="S11" i="4"/>
  <c r="S16" i="4"/>
  <c r="S31" i="4"/>
  <c r="AL33" i="4" l="1"/>
  <c r="AL32" i="4" s="1"/>
  <c r="AL31" i="4" s="1"/>
  <c r="AG34" i="4"/>
  <c r="AG33" i="4" s="1"/>
  <c r="AG32" i="4" s="1"/>
  <c r="AG31" i="4" s="1"/>
  <c r="AG30" i="4" s="1"/>
  <c r="AG29" i="4" s="1"/>
  <c r="AG28" i="4" s="1"/>
  <c r="AG27" i="4" s="1"/>
  <c r="AG26" i="4" s="1"/>
  <c r="AG25" i="4" s="1"/>
  <c r="AG24" i="4" s="1"/>
  <c r="AG23" i="4" s="1"/>
  <c r="AG22" i="4" s="1"/>
  <c r="BE47" i="2"/>
  <c r="BC47" i="2"/>
  <c r="BC46" i="2" s="1"/>
  <c r="BC45" i="2" s="1"/>
  <c r="BC44" i="2" s="1"/>
  <c r="BC43" i="2" s="1"/>
  <c r="BC42" i="2" s="1"/>
  <c r="BC41" i="2" s="1"/>
  <c r="BC40" i="2" s="1"/>
  <c r="BC39" i="2" s="1"/>
  <c r="BC38" i="2" s="1"/>
  <c r="BC37" i="2" s="1"/>
  <c r="BC36" i="2" s="1"/>
  <c r="BC35" i="2" s="1"/>
  <c r="BC34" i="2" s="1"/>
  <c r="BC33" i="2" s="1"/>
  <c r="BC32" i="2" s="1"/>
  <c r="BC31" i="2" s="1"/>
  <c r="BC30" i="2" s="1"/>
  <c r="BC29" i="2" s="1"/>
  <c r="BC28" i="2" s="1"/>
  <c r="BC27" i="2" s="1"/>
  <c r="BC26" i="2" s="1"/>
  <c r="BC25" i="2" s="1"/>
  <c r="BC24" i="2" s="1"/>
  <c r="BC23" i="2" s="1"/>
  <c r="BC22" i="2" s="1"/>
  <c r="BC21" i="2" s="1"/>
  <c r="BC20" i="2" s="1"/>
  <c r="BC19" i="2" s="1"/>
  <c r="BC18" i="2" s="1"/>
  <c r="BC17" i="2" s="1"/>
  <c r="BC16" i="2" s="1"/>
  <c r="BC15" i="2" s="1"/>
  <c r="BC14" i="2" s="1"/>
  <c r="BC13" i="2" s="1"/>
  <c r="BC12" i="2" s="1"/>
  <c r="BC11" i="2" s="1"/>
  <c r="BC10" i="2" s="1"/>
  <c r="BC9" i="2" s="1"/>
  <c r="BC8" i="2" s="1"/>
  <c r="BC7" i="2" s="1"/>
  <c r="BC6" i="2" s="1"/>
  <c r="BC5" i="2" s="1"/>
  <c r="BC4" i="2" s="1"/>
  <c r="R60" i="2" s="1"/>
  <c r="AG7" i="5" s="1"/>
  <c r="AK28" i="4"/>
  <c r="T31" i="4"/>
  <c r="U31" i="4" s="1"/>
  <c r="W31" i="4" s="1"/>
  <c r="AM31" i="4" s="1"/>
  <c r="AM30" i="4" s="1"/>
  <c r="AM29" i="4" s="1"/>
  <c r="T16" i="4"/>
  <c r="U16" i="4" s="1"/>
  <c r="W16" i="4" s="1"/>
  <c r="T11" i="4"/>
  <c r="U11" i="4" s="1"/>
  <c r="W11" i="4" s="1"/>
  <c r="AJ19" i="4"/>
  <c r="AI26" i="4"/>
  <c r="AI25" i="4" s="1"/>
  <c r="AI24" i="4" s="1"/>
  <c r="AI23" i="4" s="1"/>
  <c r="AI22" i="4" s="1"/>
  <c r="AI21" i="4" s="1"/>
  <c r="AI20" i="4" s="1"/>
  <c r="AI19" i="4" s="1"/>
  <c r="AI18" i="4" s="1"/>
  <c r="AI17" i="4" s="1"/>
  <c r="BA39" i="2"/>
  <c r="BA42" i="2"/>
  <c r="AY42" i="2"/>
  <c r="AY41" i="2" s="1"/>
  <c r="AY40" i="2" s="1"/>
  <c r="AY39" i="2" s="1"/>
  <c r="AY38" i="2" s="1"/>
  <c r="AY37" i="2" s="1"/>
  <c r="AY36" i="2" s="1"/>
  <c r="AY35" i="2" s="1"/>
  <c r="AY34" i="2" s="1"/>
  <c r="AY33" i="2" s="1"/>
  <c r="AY32" i="2" s="1"/>
  <c r="AY31" i="2" s="1"/>
  <c r="AY30" i="2" s="1"/>
  <c r="AY29" i="2" s="1"/>
  <c r="AY28" i="2" s="1"/>
  <c r="AY27" i="2" s="1"/>
  <c r="AY26" i="2" s="1"/>
  <c r="AY25" i="2" s="1"/>
  <c r="AY24" i="2" s="1"/>
  <c r="AY23" i="2" s="1"/>
  <c r="AY22" i="2" s="1"/>
  <c r="AY21" i="2" s="1"/>
  <c r="AY20" i="2" s="1"/>
  <c r="AY19" i="2" s="1"/>
  <c r="AY18" i="2" s="1"/>
  <c r="AY17" i="2" s="1"/>
  <c r="AY16" i="2" s="1"/>
  <c r="AY15" i="2" s="1"/>
  <c r="AY14" i="2" s="1"/>
  <c r="AY13" i="2" s="1"/>
  <c r="AY12" i="2" s="1"/>
  <c r="AY11" i="2" s="1"/>
  <c r="AY10" i="2" s="1"/>
  <c r="AY9" i="2" s="1"/>
  <c r="AY8" i="2" s="1"/>
  <c r="AY7" i="2" s="1"/>
  <c r="AY6" i="2" s="1"/>
  <c r="AY5" i="2" s="1"/>
  <c r="AY4" i="2" s="1"/>
  <c r="N60" i="2" s="1"/>
  <c r="AG6" i="5" s="1"/>
  <c r="H67" i="10" s="1"/>
  <c r="BG39" i="2"/>
  <c r="BG38" i="2" s="1"/>
  <c r="BG37" i="2" s="1"/>
  <c r="BG36" i="2" s="1"/>
  <c r="BG35" i="2" s="1"/>
  <c r="BG34" i="2" s="1"/>
  <c r="BG33" i="2" s="1"/>
  <c r="BG32" i="2" s="1"/>
  <c r="BG31" i="2" s="1"/>
  <c r="BG30" i="2" s="1"/>
  <c r="BG29" i="2" s="1"/>
  <c r="BG28" i="2" s="1"/>
  <c r="BG27" i="2" s="1"/>
  <c r="BG26" i="2" s="1"/>
  <c r="BG25" i="2" s="1"/>
  <c r="BG24" i="2" s="1"/>
  <c r="BG23" i="2" s="1"/>
  <c r="BG22" i="2" s="1"/>
  <c r="BG21" i="2" s="1"/>
  <c r="BG20" i="2" s="1"/>
  <c r="BG19" i="2" s="1"/>
  <c r="BG18" i="2" s="1"/>
  <c r="BG17" i="2" s="1"/>
  <c r="BG16" i="2" s="1"/>
  <c r="BG15" i="2" s="1"/>
  <c r="BG14" i="2" s="1"/>
  <c r="BG13" i="2" s="1"/>
  <c r="BG12" i="2" s="1"/>
  <c r="BG11" i="2" s="1"/>
  <c r="BG10" i="2" s="1"/>
  <c r="BG9" i="2" s="1"/>
  <c r="BG8" i="2" s="1"/>
  <c r="BG7" i="2" s="1"/>
  <c r="BG6" i="2" s="1"/>
  <c r="BG5" i="2" s="1"/>
  <c r="BG4" i="2" s="1"/>
  <c r="V60" i="2" s="1"/>
  <c r="AG8" i="5" s="1"/>
  <c r="H95" i="10" s="1"/>
  <c r="AL30" i="4"/>
  <c r="AL29" i="4" s="1"/>
  <c r="AL28" i="4" s="1"/>
  <c r="AL27" i="4" s="1"/>
  <c r="AL26" i="4" s="1"/>
  <c r="AL25" i="4" s="1"/>
  <c r="AL24" i="4" s="1"/>
  <c r="AL23" i="4" s="1"/>
  <c r="AL22" i="4" s="1"/>
  <c r="AL21" i="4" s="1"/>
  <c r="AL20" i="4" s="1"/>
  <c r="AL19" i="4" s="1"/>
  <c r="AL18" i="4" s="1"/>
  <c r="AL17" i="4" s="1"/>
  <c r="AL16" i="4" s="1"/>
  <c r="AL15" i="4" s="1"/>
  <c r="AL14" i="4" s="1"/>
  <c r="AL13" i="4" s="1"/>
  <c r="AL12" i="4" s="1"/>
  <c r="AO25" i="2"/>
  <c r="AM25" i="2"/>
  <c r="AM24" i="2" s="1"/>
  <c r="AM23" i="2" s="1"/>
  <c r="AM22" i="2" s="1"/>
  <c r="AM21" i="2" s="1"/>
  <c r="AM20" i="2" s="1"/>
  <c r="AM19" i="2" s="1"/>
  <c r="AM18" i="2" s="1"/>
  <c r="AM17" i="2" s="1"/>
  <c r="AM16" i="2" s="1"/>
  <c r="AM15" i="2" s="1"/>
  <c r="AM14" i="2" s="1"/>
  <c r="AM13" i="2" s="1"/>
  <c r="AM12" i="2" s="1"/>
  <c r="AM11" i="2" s="1"/>
  <c r="AM10" i="2" s="1"/>
  <c r="AM9" i="2" s="1"/>
  <c r="AM8" i="2" s="1"/>
  <c r="AM7" i="2" s="1"/>
  <c r="AM6" i="2" s="1"/>
  <c r="AM5" i="2" s="1"/>
  <c r="BM8" i="2"/>
  <c r="BK8" i="2"/>
  <c r="BK7" i="2" s="1"/>
  <c r="BK6" i="2" s="1"/>
  <c r="BK5" i="2" s="1"/>
  <c r="BK4" i="2" s="1"/>
  <c r="Z60" i="2" s="1"/>
  <c r="AG9" i="5" s="1"/>
  <c r="AO16" i="2"/>
  <c r="BE25" i="2"/>
  <c r="AU23" i="2"/>
  <c r="AU22" i="2" s="1"/>
  <c r="AU21" i="2" s="1"/>
  <c r="AU20" i="2" s="1"/>
  <c r="AU19" i="2" s="1"/>
  <c r="AU18" i="2" s="1"/>
  <c r="AU17" i="2" s="1"/>
  <c r="AU16" i="2" s="1"/>
  <c r="AU15" i="2" s="1"/>
  <c r="AU14" i="2" s="1"/>
  <c r="AU13" i="2" s="1"/>
  <c r="AU12" i="2" s="1"/>
  <c r="AU11" i="2" s="1"/>
  <c r="AU10" i="2" s="1"/>
  <c r="AU9" i="2" s="1"/>
  <c r="AU8" i="2" s="1"/>
  <c r="AU7" i="2" s="1"/>
  <c r="AU6" i="2" s="1"/>
  <c r="AU5" i="2" s="1"/>
  <c r="AU4" i="2" s="1"/>
  <c r="J60" i="2" s="1"/>
  <c r="AG5" i="5" s="1"/>
  <c r="J176" i="3"/>
  <c r="AO14" i="2"/>
  <c r="BI12" i="2"/>
  <c r="R62" i="2"/>
  <c r="R66" i="2" s="1"/>
  <c r="R15" i="3"/>
  <c r="R16" i="3" s="1"/>
  <c r="R17" i="3" s="1"/>
  <c r="R18" i="3" s="1"/>
  <c r="R19" i="3" s="1"/>
  <c r="R20" i="3" s="1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R43" i="3" s="1"/>
  <c r="R44" i="3" s="1"/>
  <c r="R45" i="3" s="1"/>
  <c r="H111" i="3" s="1"/>
  <c r="AH7" i="5" s="1"/>
  <c r="E176" i="3"/>
  <c r="H176" i="3"/>
  <c r="F176" i="3"/>
  <c r="AS11" i="2"/>
  <c r="AQ11" i="2"/>
  <c r="AQ10" i="2" s="1"/>
  <c r="AQ9" i="2" s="1"/>
  <c r="AQ8" i="2" s="1"/>
  <c r="AQ7" i="2" s="1"/>
  <c r="AQ6" i="2" s="1"/>
  <c r="AQ5" i="2" s="1"/>
  <c r="AQ4" i="2" s="1"/>
  <c r="F60" i="2" s="1"/>
  <c r="AG4" i="5" s="1"/>
  <c r="H39" i="10" s="1"/>
  <c r="AS10" i="2"/>
  <c r="AO12" i="2"/>
  <c r="BE11" i="2"/>
  <c r="I176" i="3"/>
  <c r="B101" i="10"/>
  <c r="AM3" i="5"/>
  <c r="B17" i="10" s="1"/>
  <c r="C60" i="10"/>
  <c r="D60" i="10" s="1"/>
  <c r="F62" i="10"/>
  <c r="C102" i="10"/>
  <c r="D102" i="10" s="1"/>
  <c r="D103" i="10" s="1"/>
  <c r="D104" i="10" s="1"/>
  <c r="D105" i="10" s="1"/>
  <c r="H103" i="10" s="1"/>
  <c r="F104" i="10"/>
  <c r="F76" i="10"/>
  <c r="C74" i="10"/>
  <c r="D74" i="10" s="1"/>
  <c r="D75" i="10" s="1"/>
  <c r="D76" i="10" s="1"/>
  <c r="D77" i="10" s="1"/>
  <c r="H75" i="10" s="1"/>
  <c r="D61" i="10"/>
  <c r="D62" i="10" s="1"/>
  <c r="D63" i="10" s="1"/>
  <c r="H61" i="10" s="1"/>
  <c r="F90" i="10"/>
  <c r="C88" i="10"/>
  <c r="D88" i="10" s="1"/>
  <c r="D89" i="10" s="1"/>
  <c r="D90" i="10" s="1"/>
  <c r="D91" i="10" s="1"/>
  <c r="H89" i="10" s="1"/>
  <c r="C32" i="10"/>
  <c r="D32" i="10" s="1"/>
  <c r="D33" i="10" s="1"/>
  <c r="D34" i="10" s="1"/>
  <c r="D35" i="10" s="1"/>
  <c r="H33" i="10" s="1"/>
  <c r="F34" i="10"/>
  <c r="F48" i="10"/>
  <c r="C46" i="10"/>
  <c r="D46" i="10" s="1"/>
  <c r="D47" i="10" s="1"/>
  <c r="D48" i="10" s="1"/>
  <c r="D49" i="10" s="1"/>
  <c r="H47" i="10" s="1"/>
  <c r="BE8" i="2"/>
  <c r="G176" i="3"/>
  <c r="BI10" i="2"/>
  <c r="D176" i="3"/>
  <c r="S15" i="3"/>
  <c r="S16" i="3" s="1"/>
  <c r="S17" i="3" s="1"/>
  <c r="O15" i="3"/>
  <c r="O16" i="3" s="1"/>
  <c r="O17" i="3" s="1"/>
  <c r="T15" i="3"/>
  <c r="T16" i="3" s="1"/>
  <c r="T17" i="3" s="1"/>
  <c r="N15" i="3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D111" i="3" s="1"/>
  <c r="AH3" i="5" s="1"/>
  <c r="U15" i="3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K111" i="3" s="1"/>
  <c r="AH10" i="5" s="1"/>
  <c r="Q15" i="3"/>
  <c r="Q16" i="3" s="1"/>
  <c r="Q17" i="3" s="1"/>
  <c r="BO5" i="2"/>
  <c r="BO4" i="2" s="1"/>
  <c r="AD60" i="2" s="1"/>
  <c r="AG10" i="5" s="1"/>
  <c r="H123" i="10" s="1"/>
  <c r="AJ10" i="5"/>
  <c r="K176" i="3"/>
  <c r="U6" i="4"/>
  <c r="W6" i="4" s="1"/>
  <c r="U9" i="4"/>
  <c r="W9" i="4" s="1"/>
  <c r="AO8" i="2"/>
  <c r="D19" i="8"/>
  <c r="E19" i="8" s="1"/>
  <c r="F19" i="8" s="1"/>
  <c r="D11" i="8"/>
  <c r="E11" i="8" s="1"/>
  <c r="F11" i="8" s="1"/>
  <c r="D17" i="8"/>
  <c r="E17" i="8" s="1"/>
  <c r="F17" i="8" s="1"/>
  <c r="D8" i="8"/>
  <c r="E8" i="8" s="1"/>
  <c r="F8" i="8" s="1"/>
  <c r="D14" i="8"/>
  <c r="E14" i="8" s="1"/>
  <c r="F14" i="8" s="1"/>
  <c r="D23" i="8"/>
  <c r="E23" i="8" s="1"/>
  <c r="F23" i="8" s="1"/>
  <c r="N23" i="8" s="1"/>
  <c r="D16" i="8"/>
  <c r="E16" i="8" s="1"/>
  <c r="F16" i="8" s="1"/>
  <c r="V62" i="2"/>
  <c r="V66" i="2" s="1"/>
  <c r="D21" i="8"/>
  <c r="E21" i="8" s="1"/>
  <c r="F21" i="8" s="1"/>
  <c r="D15" i="8"/>
  <c r="E15" i="8" s="1"/>
  <c r="F15" i="8" s="1"/>
  <c r="D22" i="8"/>
  <c r="E22" i="8" s="1"/>
  <c r="F22" i="8" s="1"/>
  <c r="D13" i="8"/>
  <c r="E13" i="8" s="1"/>
  <c r="F13" i="8" s="1"/>
  <c r="D10" i="8"/>
  <c r="E10" i="8" s="1"/>
  <c r="F10" i="8" s="1"/>
  <c r="D18" i="8"/>
  <c r="E18" i="8" s="1"/>
  <c r="F18" i="8" s="1"/>
  <c r="D12" i="8"/>
  <c r="E12" i="8" s="1"/>
  <c r="F12" i="8" s="1"/>
  <c r="D20" i="8"/>
  <c r="E20" i="8" s="1"/>
  <c r="F20" i="8" s="1"/>
  <c r="A114" i="10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F114" i="10" s="1"/>
  <c r="S18" i="3"/>
  <c r="S19" i="3" s="1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7" i="3" s="1"/>
  <c r="S38" i="3" s="1"/>
  <c r="S39" i="3" s="1"/>
  <c r="S40" i="3" s="1"/>
  <c r="S41" i="3" s="1"/>
  <c r="S42" i="3" s="1"/>
  <c r="S43" i="3" s="1"/>
  <c r="S44" i="3" s="1"/>
  <c r="S45" i="3" s="1"/>
  <c r="I111" i="3" s="1"/>
  <c r="AH8" i="5" s="1"/>
  <c r="A86" i="10"/>
  <c r="B86" i="10" s="1"/>
  <c r="B87" i="10" s="1"/>
  <c r="Q18" i="3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G111" i="3" s="1"/>
  <c r="AH6" i="5" s="1"/>
  <c r="F64" i="10" s="1"/>
  <c r="H65" i="10" s="1"/>
  <c r="A58" i="10"/>
  <c r="B58" i="10" s="1"/>
  <c r="B59" i="10" s="1"/>
  <c r="O18" i="3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E111" i="3" s="1"/>
  <c r="AH4" i="5" s="1"/>
  <c r="F36" i="10" s="1"/>
  <c r="H37" i="10" s="1"/>
  <c r="A30" i="10"/>
  <c r="B30" i="10" s="1"/>
  <c r="B31" i="10" s="1"/>
  <c r="N64" i="2"/>
  <c r="A60" i="10" s="1"/>
  <c r="F62" i="2"/>
  <c r="F66" i="2" s="1"/>
  <c r="Z64" i="2"/>
  <c r="A102" i="10" s="1"/>
  <c r="B102" i="10" s="1"/>
  <c r="B103" i="10" s="1"/>
  <c r="B104" i="10" s="1"/>
  <c r="B105" i="10" s="1"/>
  <c r="B106" i="10" s="1"/>
  <c r="B107" i="10" s="1"/>
  <c r="B108" i="10" s="1"/>
  <c r="B109" i="10" s="1"/>
  <c r="F100" i="10" s="1"/>
  <c r="AD62" i="2"/>
  <c r="AD66" i="2" s="1"/>
  <c r="N62" i="2"/>
  <c r="N66" i="2" s="1"/>
  <c r="AJ18" i="4"/>
  <c r="AJ17" i="4" s="1"/>
  <c r="AJ16" i="4" s="1"/>
  <c r="AJ15" i="4" s="1"/>
  <c r="AJ14" i="4" s="1"/>
  <c r="AJ13" i="4" s="1"/>
  <c r="AJ12" i="4" s="1"/>
  <c r="AJ11" i="4" s="1"/>
  <c r="AJ10" i="4" s="1"/>
  <c r="AJ9" i="4" s="1"/>
  <c r="AJ8" i="4" s="1"/>
  <c r="AJ7" i="4" s="1"/>
  <c r="AJ6" i="4" s="1"/>
  <c r="AJ5" i="4" s="1"/>
  <c r="F5" i="10"/>
  <c r="H5" i="10" s="1"/>
  <c r="AI16" i="4"/>
  <c r="AI15" i="4" s="1"/>
  <c r="AI14" i="4" s="1"/>
  <c r="AI13" i="4" s="1"/>
  <c r="AI12" i="4" s="1"/>
  <c r="F64" i="2"/>
  <c r="A32" i="10" s="1"/>
  <c r="B62" i="2"/>
  <c r="B66" i="2" s="1"/>
  <c r="T18" i="3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J111" i="3" s="1"/>
  <c r="AH9" i="5" s="1"/>
  <c r="F106" i="10" s="1"/>
  <c r="H107" i="10" s="1"/>
  <c r="Z62" i="2"/>
  <c r="Z66" i="2" s="1"/>
  <c r="J64" i="2"/>
  <c r="A46" i="10" s="1"/>
  <c r="AM28" i="4"/>
  <c r="AM27" i="4" s="1"/>
  <c r="AM26" i="4" s="1"/>
  <c r="C8" i="3"/>
  <c r="AL11" i="4" l="1"/>
  <c r="AL10" i="4" s="1"/>
  <c r="V64" i="2"/>
  <c r="A88" i="10" s="1"/>
  <c r="B88" i="10" s="1"/>
  <c r="B89" i="10" s="1"/>
  <c r="B90" i="10" s="1"/>
  <c r="B91" i="10" s="1"/>
  <c r="B92" i="10" s="1"/>
  <c r="B93" i="10" s="1"/>
  <c r="B94" i="10" s="1"/>
  <c r="B95" i="10" s="1"/>
  <c r="F86" i="10" s="1"/>
  <c r="F109" i="10"/>
  <c r="H109" i="10"/>
  <c r="R64" i="2"/>
  <c r="A74" i="10" s="1"/>
  <c r="B74" i="10" s="1"/>
  <c r="B75" i="10" s="1"/>
  <c r="B76" i="10" s="1"/>
  <c r="B77" i="10" s="1"/>
  <c r="B78" i="10" s="1"/>
  <c r="B79" i="10" s="1"/>
  <c r="B80" i="10" s="1"/>
  <c r="B81" i="10" s="1"/>
  <c r="F72" i="10" s="1"/>
  <c r="N22" i="8"/>
  <c r="N21" i="8" s="1"/>
  <c r="N20" i="8" s="1"/>
  <c r="N19" i="8" s="1"/>
  <c r="N18" i="8" s="1"/>
  <c r="N17" i="8" s="1"/>
  <c r="N16" i="8" s="1"/>
  <c r="N15" i="8" s="1"/>
  <c r="N14" i="8" s="1"/>
  <c r="N13" i="8" s="1"/>
  <c r="N12" i="8" s="1"/>
  <c r="N11" i="8" s="1"/>
  <c r="N10" i="8" s="1"/>
  <c r="N9" i="8" s="1"/>
  <c r="N8" i="8" s="1"/>
  <c r="N7" i="8" s="1"/>
  <c r="N6" i="8" s="1"/>
  <c r="N5" i="8" s="1"/>
  <c r="N4" i="8" s="1"/>
  <c r="N3" i="8" s="1"/>
  <c r="B64" i="2"/>
  <c r="A18" i="10" s="1"/>
  <c r="B18" i="10" s="1"/>
  <c r="B19" i="10" s="1"/>
  <c r="B20" i="10" s="1"/>
  <c r="B21" i="10" s="1"/>
  <c r="B22" i="10" s="1"/>
  <c r="B23" i="10" s="1"/>
  <c r="B24" i="10" s="1"/>
  <c r="B25" i="10" s="1"/>
  <c r="F16" i="10" s="1"/>
  <c r="F78" i="10"/>
  <c r="H79" i="10" s="1"/>
  <c r="F122" i="10"/>
  <c r="F92" i="10"/>
  <c r="H93" i="10" s="1"/>
  <c r="H114" i="10"/>
  <c r="F118" i="10"/>
  <c r="C116" i="10"/>
  <c r="D116" i="10" s="1"/>
  <c r="D117" i="10" s="1"/>
  <c r="D118" i="10" s="1"/>
  <c r="D119" i="10" s="1"/>
  <c r="H117" i="10" s="1"/>
  <c r="F120" i="10"/>
  <c r="H121" i="10" s="1"/>
  <c r="F20" i="10"/>
  <c r="C18" i="10"/>
  <c r="D18" i="10" s="1"/>
  <c r="D19" i="10" s="1"/>
  <c r="D20" i="10" s="1"/>
  <c r="D21" i="10" s="1"/>
  <c r="H19" i="10" s="1"/>
  <c r="F67" i="10"/>
  <c r="F123" i="10"/>
  <c r="H81" i="10"/>
  <c r="F81" i="10"/>
  <c r="F39" i="10"/>
  <c r="F95" i="10"/>
  <c r="B32" i="10"/>
  <c r="B33" i="10" s="1"/>
  <c r="B34" i="10" s="1"/>
  <c r="B35" i="10" s="1"/>
  <c r="B36" i="10" s="1"/>
  <c r="B37" i="10" s="1"/>
  <c r="B38" i="10" s="1"/>
  <c r="B39" i="10" s="1"/>
  <c r="F30" i="10" s="1"/>
  <c r="B60" i="10"/>
  <c r="B61" i="10" s="1"/>
  <c r="B62" i="10" s="1"/>
  <c r="B63" i="10" s="1"/>
  <c r="B64" i="10" s="1"/>
  <c r="B65" i="10" s="1"/>
  <c r="B66" i="10" s="1"/>
  <c r="B67" i="10" s="1"/>
  <c r="F58" i="10" s="1"/>
  <c r="C9" i="3"/>
  <c r="F58" i="3" l="1"/>
  <c r="AM5" i="5" s="1"/>
  <c r="B45" i="10" s="1"/>
  <c r="B46" i="10" s="1"/>
  <c r="B47" i="10" s="1"/>
  <c r="B48" i="10" s="1"/>
  <c r="B49" i="10" s="1"/>
  <c r="B50" i="10" s="1"/>
  <c r="B51" i="10" s="1"/>
  <c r="B52" i="10" s="1"/>
  <c r="B53" i="10" s="1"/>
  <c r="F44" i="10" s="1"/>
  <c r="N2" i="8"/>
  <c r="C10" i="3"/>
  <c r="H53" i="10" l="1"/>
  <c r="F53" i="10"/>
  <c r="P15" i="3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P44" i="3" s="1"/>
  <c r="P45" i="3" s="1"/>
  <c r="F111" i="3" s="1"/>
  <c r="AH5" i="5" s="1"/>
  <c r="F50" i="10" s="1"/>
  <c r="H51" i="10" s="1"/>
  <c r="J62" i="2"/>
  <c r="J66" i="2" s="1"/>
  <c r="C11" i="3"/>
  <c r="C12" i="3" l="1"/>
  <c r="C13" i="3" l="1"/>
  <c r="C14" i="3" l="1"/>
  <c r="C15" i="3" l="1"/>
  <c r="C16" i="3" l="1"/>
  <c r="C17" i="3" l="1"/>
  <c r="C18" i="3" l="1"/>
  <c r="C19" i="3" l="1"/>
  <c r="C20" i="3" l="1"/>
  <c r="C21" i="3" l="1"/>
  <c r="C22" i="3" l="1"/>
  <c r="C23" i="3" l="1"/>
  <c r="C24" i="3" l="1"/>
  <c r="C25" i="3" l="1"/>
  <c r="C26" i="3" l="1"/>
  <c r="C27" i="3" l="1"/>
  <c r="C28" i="3" l="1"/>
  <c r="C29" i="3" l="1"/>
  <c r="C30" i="3" l="1"/>
  <c r="C31" i="3" l="1"/>
  <c r="C32" i="3" l="1"/>
  <c r="C33" i="3" l="1"/>
  <c r="C34" i="3" l="1"/>
  <c r="C35" i="3" l="1"/>
  <c r="AH22" i="4" l="1"/>
  <c r="AH21" i="4" s="1"/>
  <c r="AH20" i="4" s="1"/>
  <c r="AH19" i="4" s="1"/>
  <c r="AH18" i="4" s="1"/>
  <c r="AH17" i="4" s="1"/>
  <c r="AH16" i="4" s="1"/>
  <c r="AH15" i="4" s="1"/>
  <c r="AH14" i="4" s="1"/>
  <c r="AH13" i="4" s="1"/>
  <c r="AH12" i="4" s="1"/>
  <c r="AH11" i="4" s="1"/>
  <c r="AH10" i="4" s="1"/>
  <c r="AH9" i="4" s="1"/>
  <c r="AH8" i="4" s="1"/>
  <c r="AH7" i="4" s="1"/>
  <c r="AH6" i="4" s="1"/>
  <c r="AH5" i="4" s="1"/>
  <c r="AH4" i="4" s="1"/>
  <c r="AI4" i="5" s="1"/>
  <c r="H30" i="10" s="1"/>
  <c r="C36" i="3"/>
  <c r="F38" i="10" l="1"/>
  <c r="C37" i="3"/>
  <c r="AG21" i="4" l="1"/>
  <c r="AG20" i="4" s="1"/>
  <c r="AG19" i="4" s="1"/>
  <c r="AG18" i="4" s="1"/>
  <c r="AG17" i="4" s="1"/>
  <c r="AG16" i="4" s="1"/>
  <c r="AG15" i="4" s="1"/>
  <c r="AG14" i="4" s="1"/>
  <c r="AG13" i="4" s="1"/>
  <c r="AG12" i="4" s="1"/>
  <c r="AG11" i="4" s="1"/>
  <c r="AG10" i="4" s="1"/>
  <c r="AG9" i="4" s="1"/>
  <c r="AG8" i="4" s="1"/>
  <c r="AG7" i="4" s="1"/>
  <c r="AG6" i="4" s="1"/>
  <c r="AG5" i="4" s="1"/>
  <c r="C38" i="3"/>
  <c r="C39" i="3" l="1"/>
  <c r="T4" i="4" l="1"/>
  <c r="C40" i="3"/>
  <c r="U4" i="4" l="1"/>
  <c r="W4" i="4" s="1"/>
  <c r="C41" i="3"/>
  <c r="AJ4" i="4" l="1"/>
  <c r="AI6" i="5" s="1"/>
  <c r="H58" i="10" s="1"/>
  <c r="AG4" i="4"/>
  <c r="AI3" i="5" s="1"/>
  <c r="C42" i="3"/>
  <c r="C43" i="3" s="1"/>
  <c r="C44" i="3" s="1"/>
  <c r="C45" i="3" s="1"/>
  <c r="F66" i="10" l="1"/>
  <c r="H16" i="10"/>
  <c r="F24" i="10"/>
  <c r="AK27" i="4"/>
  <c r="AK26" i="4" s="1"/>
  <c r="AK25" i="4" s="1"/>
  <c r="AK24" i="4" s="1"/>
  <c r="AK23" i="4" s="1"/>
  <c r="AK22" i="4" s="1"/>
  <c r="AK21" i="4" s="1"/>
  <c r="AK20" i="4" s="1"/>
  <c r="AK19" i="4" s="1"/>
  <c r="AK18" i="4" s="1"/>
  <c r="AK17" i="4" s="1"/>
  <c r="AK16" i="4" s="1"/>
  <c r="AM25" i="4"/>
  <c r="AM24" i="4" s="1"/>
  <c r="AM23" i="4" s="1"/>
  <c r="AM22" i="4" s="1"/>
  <c r="AM21" i="4" s="1"/>
  <c r="AM20" i="4" s="1"/>
  <c r="AM19" i="4" s="1"/>
  <c r="AM18" i="4" s="1"/>
  <c r="AM17" i="4" s="1"/>
  <c r="AM16" i="4" s="1"/>
  <c r="AM15" i="4" s="1"/>
  <c r="AM14" i="4" s="1"/>
  <c r="AM13" i="4" s="1"/>
  <c r="AM12" i="4" s="1"/>
  <c r="AM11" i="4" s="1"/>
  <c r="AM10" i="4" s="1"/>
  <c r="AM9" i="4" s="1"/>
  <c r="AM8" i="4" s="1"/>
  <c r="AM7" i="4" s="1"/>
  <c r="AK15" i="4" l="1"/>
  <c r="AK14" i="4" s="1"/>
  <c r="AK13" i="4" s="1"/>
  <c r="AK12" i="4" s="1"/>
  <c r="AK11" i="4" s="1"/>
  <c r="AK10" i="4" s="1"/>
  <c r="AK9" i="4" s="1"/>
  <c r="AK8" i="4" s="1"/>
  <c r="AK7" i="4" s="1"/>
  <c r="AK6" i="4" s="1"/>
  <c r="AK5" i="4" s="1"/>
  <c r="AK4" i="4" s="1"/>
  <c r="AI7" i="5" s="1"/>
  <c r="H72" i="10" s="1"/>
  <c r="AL9" i="4"/>
  <c r="AL8" i="4" s="1"/>
  <c r="AL7" i="4" s="1"/>
  <c r="AL6" i="4" s="1"/>
  <c r="AL5" i="4" s="1"/>
  <c r="AL4" i="4" s="1"/>
  <c r="AI8" i="5" s="1"/>
  <c r="H86" i="10" s="1"/>
  <c r="AM6" i="4"/>
  <c r="AM5" i="4" s="1"/>
  <c r="AM4" i="4" s="1"/>
  <c r="AI9" i="5" s="1"/>
  <c r="H100" i="10" s="1"/>
  <c r="AI11" i="4"/>
  <c r="AI10" i="4" s="1"/>
  <c r="AI9" i="4" s="1"/>
  <c r="AI8" i="4" s="1"/>
  <c r="AI7" i="4" s="1"/>
  <c r="AI6" i="4" s="1"/>
  <c r="AI5" i="4" s="1"/>
  <c r="AI4" i="4" s="1"/>
  <c r="AI5" i="5" s="1"/>
  <c r="H44" i="10" s="1"/>
  <c r="F108" i="10" l="1"/>
  <c r="F94" i="10"/>
  <c r="F80" i="10"/>
  <c r="F52" i="10"/>
  <c r="AM4" i="2" l="1"/>
  <c r="B60" i="2" s="1"/>
  <c r="AG3" i="5" s="1"/>
  <c r="F22" i="10" s="1"/>
  <c r="H23" i="10" s="1"/>
  <c r="F25" i="10" l="1"/>
  <c r="H25" i="10"/>
</calcChain>
</file>

<file path=xl/sharedStrings.xml><?xml version="1.0" encoding="utf-8"?>
<sst xmlns="http://schemas.openxmlformats.org/spreadsheetml/2006/main" count="1719" uniqueCount="624">
  <si>
    <t>Нация</t>
  </si>
  <si>
    <t>Лидер</t>
  </si>
  <si>
    <t>Русь</t>
  </si>
  <si>
    <t>Римская империя</t>
  </si>
  <si>
    <t>Египет</t>
  </si>
  <si>
    <t>Великие монголы</t>
  </si>
  <si>
    <t>Поднебесная</t>
  </si>
  <si>
    <t>Индонезия</t>
  </si>
  <si>
    <t>Зулусы</t>
  </si>
  <si>
    <t>Индия</t>
  </si>
  <si>
    <t>Москва</t>
  </si>
  <si>
    <t>Рим</t>
  </si>
  <si>
    <t>Сарай-Бату</t>
  </si>
  <si>
    <t>Пекин</t>
  </si>
  <si>
    <t>Джакарта</t>
  </si>
  <si>
    <t>Дели</t>
  </si>
  <si>
    <t>Мгунгундлова</t>
  </si>
  <si>
    <t>НАЦИИ</t>
  </si>
  <si>
    <t>ресурсы</t>
  </si>
  <si>
    <t>железо</t>
  </si>
  <si>
    <t>мрамор</t>
  </si>
  <si>
    <t>камень</t>
  </si>
  <si>
    <t>кони</t>
  </si>
  <si>
    <t>медь</t>
  </si>
  <si>
    <t>кофе</t>
  </si>
  <si>
    <t>золото</t>
  </si>
  <si>
    <t>Форма правления</t>
  </si>
  <si>
    <t>деспотизм</t>
  </si>
  <si>
    <t>республика</t>
  </si>
  <si>
    <t>античная демократия</t>
  </si>
  <si>
    <t>монархия</t>
  </si>
  <si>
    <t>теократия</t>
  </si>
  <si>
    <t>демократия</t>
  </si>
  <si>
    <t>федерация</t>
  </si>
  <si>
    <t>тоталитаризм</t>
  </si>
  <si>
    <t>коммунизм</t>
  </si>
  <si>
    <t>ресы</t>
  </si>
  <si>
    <t xml:space="preserve"> </t>
  </si>
  <si>
    <t>зерно</t>
  </si>
  <si>
    <t>название</t>
  </si>
  <si>
    <t>№</t>
  </si>
  <si>
    <t>тип</t>
  </si>
  <si>
    <t>Название</t>
  </si>
  <si>
    <t>Население</t>
  </si>
  <si>
    <t>Стены</t>
  </si>
  <si>
    <t>Технология</t>
  </si>
  <si>
    <t>Описание</t>
  </si>
  <si>
    <t>Верховая езда</t>
  </si>
  <si>
    <t>дальность движения 4. Можно строить Всадников.</t>
  </si>
  <si>
    <t>Гончарное дело</t>
  </si>
  <si>
    <t>размер города может достигать 3. +1 к максимальной численности армий.</t>
  </si>
  <si>
    <t>Письменность</t>
  </si>
  <si>
    <t>можно построить библиотеку (генерит 1 науку)</t>
  </si>
  <si>
    <t>Охота</t>
  </si>
  <si>
    <t>позволяет нанимать лучников и копейщиков. Леса и джунгли могут использоваться для роста города (как равнина)</t>
  </si>
  <si>
    <t>Навигация</t>
  </si>
  <si>
    <t>можно исследовать прибрежные хексы, можно обрабатывать прилегающие к городу моря, получая монету. Дистанция движения по воде 6.</t>
  </si>
  <si>
    <t>Обработка железа</t>
  </si>
  <si>
    <t>позволяет строить кузницу (генерит 1 молоток)</t>
  </si>
  <si>
    <t>Философия</t>
  </si>
  <si>
    <t>Каменная кладка</t>
  </si>
  <si>
    <t>позволяет возводить укрепления (бонус к обороне)</t>
  </si>
  <si>
    <t>Деньги</t>
  </si>
  <si>
    <t>позволяет строить рынок (генерит 1 монету)</t>
  </si>
  <si>
    <t>открывает республику. Позволяет строить казармы (защищает 1 войско города от разгрома или уничтожения). Появляется возможность давать гарантии и заключать дипломатические соглашения с другими нациями.</t>
  </si>
  <si>
    <t>Свод законов</t>
  </si>
  <si>
    <t>Строительство</t>
  </si>
  <si>
    <t>позволяет строить мастерские (генерит 2 молотка). Лес при обработке дает 2 молотка вместо одного.</t>
  </si>
  <si>
    <t>Монархия</t>
  </si>
  <si>
    <t>открывает доступ к монархии. Позволяет строить мечников.</t>
  </si>
  <si>
    <t>Рыцарство</t>
  </si>
  <si>
    <t>открывает рыцарей. Позволяет построить оружейную  (защищает 2 войска города от разгрома или уничтожения)</t>
  </si>
  <si>
    <t>Печатный станок</t>
  </si>
  <si>
    <t>можно строить университеты (заменяет библиотеку) (генерит 2 науки)</t>
  </si>
  <si>
    <t>Инженерное дело</t>
  </si>
  <si>
    <t>города могут возводить 2 строения за 1 ход без траты Власти. +1 к максимальному населению города</t>
  </si>
  <si>
    <t>Математика</t>
  </si>
  <si>
    <t>открывает арбалетчиков. Дистанция движения 5. Получение золота с хекса дает 1 дополнительную монету (кроме морей и океанов).</t>
  </si>
  <si>
    <t>позволяет войскам пересекать моря и океаны. Дистанция движения по воде 8. Обработка водных клеток дает +1 монету.</t>
  </si>
  <si>
    <t>Теология</t>
  </si>
  <si>
    <t>Стратегия</t>
  </si>
  <si>
    <t>Валюта</t>
  </si>
  <si>
    <t>позволяет строить базары (генерит 2 монеты). Позволяет игрокам передавать монеты и ресурсы. Дает 1 шпиона.</t>
  </si>
  <si>
    <t xml:space="preserve"> +1 ПО</t>
  </si>
  <si>
    <t>Технология будущего 1</t>
  </si>
  <si>
    <t>Технология будущего 2</t>
  </si>
  <si>
    <t>Технология будущего 3</t>
  </si>
  <si>
    <t>Технология будущего 4</t>
  </si>
  <si>
    <t>Химия</t>
  </si>
  <si>
    <t>открывает аркебузеров и позволяет строить лаборатории (производит 3 науки). Город может обрабатывать горы, которые сами по себе ничего не производят.</t>
  </si>
  <si>
    <t>Железные дороги</t>
  </si>
  <si>
    <t>открывает пулеметы и позволяет строить фабрики (производит 3 молотка). Обработка холмов дает +1 молоток.</t>
  </si>
  <si>
    <t>Демократия</t>
  </si>
  <si>
    <t>позволяет принимать демократию. Дает 1 шпиона.</t>
  </si>
  <si>
    <t>Литье металла</t>
  </si>
  <si>
    <t>открывает пушки, +1 к максимальной численности армий.</t>
  </si>
  <si>
    <t>СМИ</t>
  </si>
  <si>
    <t>Паровая тяга</t>
  </si>
  <si>
    <t>дальность движения 6. Дистанция движения по воде 10.</t>
  </si>
  <si>
    <t>Банки</t>
  </si>
  <si>
    <t>позволяет строить банки (приносят 3 монеты). Можно конвертировать молотки в монеты по курсу 1:1</t>
  </si>
  <si>
    <t>Военное дело</t>
  </si>
  <si>
    <t>позволяет строить военные академии (защищают 3 войска города от разгрома или уничтожения). Открывает кавалерию</t>
  </si>
  <si>
    <t>Биология</t>
  </si>
  <si>
    <t>Полет</t>
  </si>
  <si>
    <t>позволяет строить бипланы. Дистанция для разведки и освоения новых считается по-прямой (горы, моря, океан не блокируют движение)</t>
  </si>
  <si>
    <t>Коммунизм</t>
  </si>
  <si>
    <t>открывает доступ к коммунизму и ПТО. Дает 1 шпиона.</t>
  </si>
  <si>
    <t>Ядерная теория</t>
  </si>
  <si>
    <t>позволяет построить производственный комплекс (генерит 4 молотка). Открывает доступ к ЯО (50%)</t>
  </si>
  <si>
    <t>Ракеты</t>
  </si>
  <si>
    <t>открывает РЗО, доступ к ЯО (50%)</t>
  </si>
  <si>
    <t>ДВС</t>
  </si>
  <si>
    <t>открывает танки. Дистанция движения 8.</t>
  </si>
  <si>
    <t>Логистика</t>
  </si>
  <si>
    <t>максимальный размер армии +1. Максимальный размер города +1. Войска могут преодолевать воду и горы. Дистанция движения по воде 16.</t>
  </si>
  <si>
    <t>Универсализация</t>
  </si>
  <si>
    <t>отрывает стрелков. Позволяет строить военные базы (защищают 4 войска города от разгрома или уничтожения). Город может расти на 2 единицы населения в ход (требует обработки двух равнин).</t>
  </si>
  <si>
    <t>Пропаганда</t>
  </si>
  <si>
    <t>Реактивные двигатели</t>
  </si>
  <si>
    <t>открывает реактивные самолеты.</t>
  </si>
  <si>
    <t>Компьютеры</t>
  </si>
  <si>
    <t>позволяет строить научные центры (генерят 4 науки). Можно конвертировать молотки в науку по курсу 2:1 (2 молотка в обмен на 1 науку)</t>
  </si>
  <si>
    <t>Биржевая экономика</t>
  </si>
  <si>
    <t>позволяет строить биржи (генерят 4 монеты)</t>
  </si>
  <si>
    <t>+1 Власть в ход, позволяет принять античную демократию. Позволяет передавать города (но не столицу)</t>
  </si>
  <si>
    <t>+2 Власти в ход, открывает теократию (Философия перестает давать бонус)</t>
  </si>
  <si>
    <t>+1 к максимальной численности армий. Открывает пикинеров</t>
  </si>
  <si>
    <t>+3 Власть (философия и теология не дают прирост власти), открывает федерацию. Позволяет нациями торговать Властью.</t>
  </si>
  <si>
    <t>+1 к максимальному размеру города. Джунгли производят дополнительно +1 науку.</t>
  </si>
  <si>
    <t>+4 Власть (прочие технологии не дают прирост власти), открывает тоталитаризм.</t>
  </si>
  <si>
    <t>Дворец</t>
  </si>
  <si>
    <t>ватага</t>
  </si>
  <si>
    <t>Стрелки</t>
  </si>
  <si>
    <t>Войска</t>
  </si>
  <si>
    <t>Ватага</t>
  </si>
  <si>
    <t>Мечники</t>
  </si>
  <si>
    <t>Аркебузеры</t>
  </si>
  <si>
    <t>Всадники</t>
  </si>
  <si>
    <t>Рыцари</t>
  </si>
  <si>
    <t>Кавалерия</t>
  </si>
  <si>
    <t>Танки</t>
  </si>
  <si>
    <t>Копейщики</t>
  </si>
  <si>
    <t>Пикинеры</t>
  </si>
  <si>
    <t>Пулеметчики</t>
  </si>
  <si>
    <t>ПТО</t>
  </si>
  <si>
    <t>Лучники</t>
  </si>
  <si>
    <t>Арбалетчики</t>
  </si>
  <si>
    <t>Пушки</t>
  </si>
  <si>
    <t>РЗО</t>
  </si>
  <si>
    <t>Бипланы</t>
  </si>
  <si>
    <t>Реактивные самолеты</t>
  </si>
  <si>
    <t>ур.</t>
  </si>
  <si>
    <t>п</t>
  </si>
  <si>
    <t>а</t>
  </si>
  <si>
    <t>у</t>
  </si>
  <si>
    <t>м</t>
  </si>
  <si>
    <t>з</t>
  </si>
  <si>
    <t>с</t>
  </si>
  <si>
    <t>мобильное</t>
  </si>
  <si>
    <t>пехотное</t>
  </si>
  <si>
    <t>заградит.</t>
  </si>
  <si>
    <t>поддержка</t>
  </si>
  <si>
    <t>авиация</t>
  </si>
  <si>
    <t>сост.</t>
  </si>
  <si>
    <t>Цена восстановления войска</t>
  </si>
  <si>
    <t>Модификатор цена апгрейда</t>
  </si>
  <si>
    <t>Производство</t>
  </si>
  <si>
    <t>Торговля</t>
  </si>
  <si>
    <t>Наука</t>
  </si>
  <si>
    <t>Оборона</t>
  </si>
  <si>
    <t>т</t>
  </si>
  <si>
    <t>н</t>
  </si>
  <si>
    <t>о</t>
  </si>
  <si>
    <t>Чудо</t>
  </si>
  <si>
    <t>казармы</t>
  </si>
  <si>
    <t>арсенал</t>
  </si>
  <si>
    <t>военная академия</t>
  </si>
  <si>
    <t>военная база</t>
  </si>
  <si>
    <t>рынок</t>
  </si>
  <si>
    <t>базар</t>
  </si>
  <si>
    <t>банк</t>
  </si>
  <si>
    <t>биржа</t>
  </si>
  <si>
    <t>кузница</t>
  </si>
  <si>
    <t>мастерская</t>
  </si>
  <si>
    <t>фабрика</t>
  </si>
  <si>
    <t>завод</t>
  </si>
  <si>
    <t>библиотека</t>
  </si>
  <si>
    <t>университет</t>
  </si>
  <si>
    <t>лаборатория</t>
  </si>
  <si>
    <t>научный центр</t>
  </si>
  <si>
    <t>Цена войска от эпохи</t>
  </si>
  <si>
    <t>Цена постройки от эпохи</t>
  </si>
  <si>
    <t>производство</t>
  </si>
  <si>
    <t>торговля</t>
  </si>
  <si>
    <t>наука</t>
  </si>
  <si>
    <t>оборона</t>
  </si>
  <si>
    <t>стены</t>
  </si>
  <si>
    <t>укрепления</t>
  </si>
  <si>
    <t>ур. воен</t>
  </si>
  <si>
    <t>дворец</t>
  </si>
  <si>
    <t>воен.</t>
  </si>
  <si>
    <t>Власть</t>
  </si>
  <si>
    <t>Дальность перемещения</t>
  </si>
  <si>
    <t>Макс. размер города</t>
  </si>
  <si>
    <t>Дальность по воде</t>
  </si>
  <si>
    <t>Астрономия</t>
  </si>
  <si>
    <t>ОМП</t>
  </si>
  <si>
    <t>Монеты</t>
  </si>
  <si>
    <t xml:space="preserve"> +Власть</t>
  </si>
  <si>
    <t>макс.в армии</t>
  </si>
  <si>
    <t>цена активац</t>
  </si>
  <si>
    <t>бонус молот.</t>
  </si>
  <si>
    <t>бонус наука</t>
  </si>
  <si>
    <t>бонус шпион</t>
  </si>
  <si>
    <t>Каждый ход считается, что 1 наука уже исследована</t>
  </si>
  <si>
    <t>Города можно активировать сразу после установления контроля</t>
  </si>
  <si>
    <t>Чудеса света</t>
  </si>
  <si>
    <t>Пирамиды</t>
  </si>
  <si>
    <t>Оракул</t>
  </si>
  <si>
    <t>Колосс</t>
  </si>
  <si>
    <t>Великая библиотека</t>
  </si>
  <si>
    <t>Колизей</t>
  </si>
  <si>
    <t>Висячие сады</t>
  </si>
  <si>
    <t>Петра</t>
  </si>
  <si>
    <t>Эпоха</t>
  </si>
  <si>
    <t>Древность</t>
  </si>
  <si>
    <t>Эпохи:</t>
  </si>
  <si>
    <t>Средневековье</t>
  </si>
  <si>
    <t>Новое время</t>
  </si>
  <si>
    <t>Современность</t>
  </si>
  <si>
    <t>Будущее</t>
  </si>
  <si>
    <t>Текстовый эффект</t>
  </si>
  <si>
    <t>все города нации могут строить два здания в ход без траты дополнительной Власти</t>
  </si>
  <si>
    <t>позволяет изучать две технологии в ход без затраты дополнительной Власти.</t>
  </si>
  <si>
    <t>один водный хекс города при использовании производит 2 дополнительных монеты.</t>
  </si>
  <si>
    <t>пустынные хексы этого города дают двойной доход при обработке</t>
  </si>
  <si>
    <t>Собор Святой Софии</t>
  </si>
  <si>
    <t>Чичен-Ица</t>
  </si>
  <si>
    <t>Терракотовая армия</t>
  </si>
  <si>
    <t>Запретный дворец</t>
  </si>
  <si>
    <t>Великая стена</t>
  </si>
  <si>
    <t>Альгамбра</t>
  </si>
  <si>
    <t>позволяет в фазу государства принять любую известную нации форму правления без траты Власти.</t>
  </si>
  <si>
    <t>город бесплатно производит одно войско средневековья или древности (на выбор из доступных)</t>
  </si>
  <si>
    <t>не может строиться в столице. Город производит одно обычное строение в ход бесплатно, но это считается строительством.</t>
  </si>
  <si>
    <t>все войска нации получают преимущество в обороне (т.е. в случае, если на города владельца напали)</t>
  </si>
  <si>
    <t>трата ресурса в этом городе не “расходует” этот ресурс либо позволяет городу использовать 2 ресурса</t>
  </si>
  <si>
    <t>Эйфилева башня</t>
  </si>
  <si>
    <t>Биг Бэн</t>
  </si>
  <si>
    <t>Лувр</t>
  </si>
  <si>
    <t>Кремль</t>
  </si>
  <si>
    <t>Статуя свободы</t>
  </si>
  <si>
    <t>ПО</t>
  </si>
  <si>
    <t>город может обменять молотки на удвоенное кол-во монет.</t>
  </si>
  <si>
    <t>в этом городе монеты можно обменять на молотки 1:1</t>
  </si>
  <si>
    <t>Только город?</t>
  </si>
  <si>
    <t>раз в ход можно сбросить ресурс и получить другой случайный</t>
  </si>
  <si>
    <t>Шпион</t>
  </si>
  <si>
    <t>аннексия города не требует расхода Власти</t>
  </si>
  <si>
    <t>прирост населения не требует бездействия людей</t>
  </si>
  <si>
    <t>ООН</t>
  </si>
  <si>
    <t>БАК</t>
  </si>
  <si>
    <t>Сиднейский театр</t>
  </si>
  <si>
    <t>Пентагон</t>
  </si>
  <si>
    <t xml:space="preserve"> +2 голоса в ООН, минимум +1 ПО</t>
  </si>
  <si>
    <t>стоимость технологий будущего 25 вместо 30 науки</t>
  </si>
  <si>
    <t>нападение на все города владельца требует на 2 Власти больше</t>
  </si>
  <si>
    <t>макс.арм.</t>
  </si>
  <si>
    <t>Текущая эпоха</t>
  </si>
  <si>
    <t>Резервы</t>
  </si>
  <si>
    <t>актив?</t>
  </si>
  <si>
    <t>есть?</t>
  </si>
  <si>
    <t>Бонус монет</t>
  </si>
  <si>
    <t>общее?</t>
  </si>
  <si>
    <t>Постройки</t>
  </si>
  <si>
    <t>Модификаторы</t>
  </si>
  <si>
    <t>города</t>
  </si>
  <si>
    <t>ресурсы, монеты</t>
  </si>
  <si>
    <t>[b][u]Фаза государства[/u][/b]:</t>
  </si>
  <si>
    <t>Цена стен</t>
  </si>
  <si>
    <t>[b][u]Фаза городов[/u][/b]:</t>
  </si>
  <si>
    <t>Рост</t>
  </si>
  <si>
    <t>холмы</t>
  </si>
  <si>
    <t>лес</t>
  </si>
  <si>
    <t>джунгли</t>
  </si>
  <si>
    <t>пустыни</t>
  </si>
  <si>
    <t>моря и океаны</t>
  </si>
  <si>
    <t>арктика</t>
  </si>
  <si>
    <t>горы</t>
  </si>
  <si>
    <t>4000 г.н.э (ход 1)</t>
  </si>
  <si>
    <t>1000 г.н.э (ход 2)</t>
  </si>
  <si>
    <t>1 г. д.н.э. (ход 3)</t>
  </si>
  <si>
    <t>400 г. д.н.э. (ход 4)</t>
  </si>
  <si>
    <t>750 г. д.н.э. (ход 5)</t>
  </si>
  <si>
    <t>1050 г. д.н.э. (ход 6)</t>
  </si>
  <si>
    <t>1300 г. д.н.э. (ход 7)</t>
  </si>
  <si>
    <t>1500 г. д.н.э. (ход 8)</t>
  </si>
  <si>
    <t>1640 г. д.н.э. (ход 9)</t>
  </si>
  <si>
    <t>1750 г. д.н.э. (ход 10)</t>
  </si>
  <si>
    <t>1840 г. д.н.э. (ход 11)</t>
  </si>
  <si>
    <t>1910 г. д.н.э. (ход 12)</t>
  </si>
  <si>
    <t>1960 г. д.н.э. (ход 13)</t>
  </si>
  <si>
    <t>1990 г. д.н.э. (ход 14)</t>
  </si>
  <si>
    <t>2000 г. д.н.э. (ход 15)</t>
  </si>
  <si>
    <t>Брут</t>
  </si>
  <si>
    <t>अशोक</t>
  </si>
  <si>
    <t>Саладор Сан</t>
  </si>
  <si>
    <t>Чака</t>
  </si>
  <si>
    <t>Борте</t>
  </si>
  <si>
    <t>Мемфис</t>
  </si>
  <si>
    <t>Микерин</t>
  </si>
  <si>
    <t>Мумбаи</t>
  </si>
  <si>
    <t>Медая</t>
  </si>
  <si>
    <t>Петербург</t>
  </si>
  <si>
    <t>Шанхай</t>
  </si>
  <si>
    <t>Юй</t>
  </si>
  <si>
    <t>[b]Сводная информация по нациям:[/b]</t>
  </si>
  <si>
    <t>Калькута</t>
  </si>
  <si>
    <t>Гиза</t>
  </si>
  <si>
    <t>Астрахань</t>
  </si>
  <si>
    <t>Казань</t>
  </si>
  <si>
    <t>Воронеж</t>
  </si>
  <si>
    <t>[/private]</t>
  </si>
  <si>
    <t>Лес</t>
  </si>
  <si>
    <t>Холм</t>
  </si>
  <si>
    <t>Поле/луг</t>
  </si>
  <si>
    <t>Джунгли</t>
  </si>
  <si>
    <t>Моря/океаны</t>
  </si>
  <si>
    <t>Пустыня</t>
  </si>
  <si>
    <t>Гора</t>
  </si>
  <si>
    <t>да</t>
  </si>
  <si>
    <t>Обработка</t>
  </si>
  <si>
    <t>нет</t>
  </si>
  <si>
    <t>Бонус центра</t>
  </si>
  <si>
    <t>-</t>
  </si>
  <si>
    <t>Секонд</t>
  </si>
  <si>
    <t>Калининград</t>
  </si>
  <si>
    <t>Ахетатон</t>
  </si>
  <si>
    <t>Гоа</t>
  </si>
  <si>
    <t>Сиань</t>
  </si>
  <si>
    <t>1е триарии</t>
  </si>
  <si>
    <t>2е триарии</t>
  </si>
  <si>
    <t>2е рыцари</t>
  </si>
  <si>
    <t>1е рыцари</t>
  </si>
  <si>
    <t>3я кавалерия</t>
  </si>
  <si>
    <t>4я кавалерия</t>
  </si>
  <si>
    <t>3я ватага</t>
  </si>
  <si>
    <t>верблюжатники</t>
  </si>
  <si>
    <t>1е всадники</t>
  </si>
  <si>
    <t>2е всадники</t>
  </si>
  <si>
    <t>1я ватага</t>
  </si>
  <si>
    <t>2я ватага</t>
  </si>
  <si>
    <t>4я ватага</t>
  </si>
  <si>
    <t>1е лучники</t>
  </si>
  <si>
    <t>Хемену</t>
  </si>
  <si>
    <t>1е копейщики</t>
  </si>
  <si>
    <t>2е копейщики</t>
  </si>
  <si>
    <t>5е всадники</t>
  </si>
  <si>
    <t>1е стрелки</t>
  </si>
  <si>
    <t>Строй</t>
  </si>
  <si>
    <t>Чудеса</t>
  </si>
  <si>
    <t>Власть от технологий</t>
  </si>
  <si>
    <t>Шпионы (+чудеса +строй)</t>
  </si>
  <si>
    <t>Доступные нации здания</t>
  </si>
  <si>
    <t>Доступные нации войска</t>
  </si>
  <si>
    <t>Мл</t>
  </si>
  <si>
    <t>Мн</t>
  </si>
  <si>
    <t>ОН</t>
  </si>
  <si>
    <t>Макс. армия (+чудеса +строй)</t>
  </si>
  <si>
    <t>Городов</t>
  </si>
  <si>
    <t>Власти в ход</t>
  </si>
  <si>
    <t>Всего</t>
  </si>
  <si>
    <t>Доступно для обмена</t>
  </si>
  <si>
    <t>Короткое описание городов наций</t>
  </si>
  <si>
    <t>Полное описание городов наций</t>
  </si>
  <si>
    <t>Доступные формы правления</t>
  </si>
  <si>
    <t>множ. Власти</t>
  </si>
  <si>
    <t>Описание города</t>
  </si>
  <si>
    <t xml:space="preserve"> +Наука</t>
  </si>
  <si>
    <t>Числ. города</t>
  </si>
  <si>
    <t>доступны</t>
  </si>
  <si>
    <t>устар.</t>
  </si>
  <si>
    <t>уничтож.</t>
  </si>
  <si>
    <t>*сила</t>
  </si>
  <si>
    <t>действ.</t>
  </si>
  <si>
    <t>max.</t>
  </si>
  <si>
    <t>население</t>
  </si>
  <si>
    <t>нация</t>
  </si>
  <si>
    <t>войска</t>
  </si>
  <si>
    <t>техи</t>
  </si>
  <si>
    <t>Известные техи:</t>
  </si>
  <si>
    <t>Возможность роста</t>
  </si>
  <si>
    <t>Возможность обработки</t>
  </si>
  <si>
    <t>[ul]</t>
  </si>
  <si>
    <t>пр-во гексов</t>
  </si>
  <si>
    <t>список ресов</t>
  </si>
  <si>
    <t>цена атаки</t>
  </si>
  <si>
    <t>бонус формы правления</t>
  </si>
  <si>
    <t>Мод. Власти х</t>
  </si>
  <si>
    <t>[u]Справочно[/u]:</t>
  </si>
  <si>
    <t>[/ul]</t>
  </si>
  <si>
    <t>[/ul][/quote]</t>
  </si>
  <si>
    <t>про-во дворца</t>
  </si>
  <si>
    <t>номер эпохи</t>
  </si>
  <si>
    <t>дает +2 очка науки при активации города (учтено)</t>
  </si>
  <si>
    <t>дает +1 Власти в ход (учтено)</t>
  </si>
  <si>
    <t>дает +2 Власти в ход (учтено)</t>
  </si>
  <si>
    <t>город может обработать 1 дополнительный хекс, как если бы его население было на 1 выше</t>
  </si>
  <si>
    <t>Геленжик</t>
  </si>
  <si>
    <t>Маккасар</t>
  </si>
  <si>
    <r>
      <t>1. orking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1</t>
    </r>
  </si>
  <si>
    <t>2.  </t>
  </si>
  <si>
    <r>
      <t>3. while</t>
    </r>
    <r>
      <rPr>
        <sz val="9"/>
        <color rgb="FF333333"/>
        <rFont val="Consolas"/>
        <family val="3"/>
        <charset val="204"/>
      </rPr>
      <t> working </t>
    </r>
    <r>
      <rPr>
        <sz val="9"/>
        <color rgb="FF66CC66"/>
        <rFont val="Consolas"/>
        <family val="3"/>
        <charset val="204"/>
      </rPr>
      <t>==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1</t>
    </r>
    <r>
      <rPr>
        <sz val="9"/>
        <color rgb="FF333333"/>
        <rFont val="Consolas"/>
        <family val="3"/>
        <charset val="204"/>
      </rPr>
      <t> :</t>
    </r>
  </si>
  <si>
    <r>
      <t>4.    d1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</si>
  <si>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5.    d2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</si>
  <si>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6.    d3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7</t>
    </r>
  </si>
  <si>
    <r>
      <t>7.    d4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</si>
  <si>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8.    d5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5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6</t>
    </r>
    <r>
      <rPr>
        <sz val="9"/>
        <color rgb="FF000000"/>
        <rFont val="Consolas"/>
        <family val="3"/>
        <charset val="204"/>
      </rPr>
      <t>)</t>
    </r>
  </si>
  <si>
    <r>
      <t>9.    d6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</si>
  <si>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10.    d7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</si>
  <si>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11.    d8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</si>
  <si>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12.    d9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</si>
  <si>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13.    d10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</si>
  <si>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14.    d11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</si>
  <si>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15.    d12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</si>
  <si>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r>
      <t>16.    d13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DC143C"/>
        <rFont val="Consolas"/>
        <family val="3"/>
        <charset val="204"/>
      </rPr>
      <t>random</t>
    </r>
    <r>
      <rPr>
        <sz val="9"/>
        <color rgb="FF333333"/>
        <rFont val="Consolas"/>
        <family val="3"/>
        <charset val="204"/>
      </rPr>
      <t>.</t>
    </r>
    <r>
      <rPr>
        <sz val="9"/>
        <color rgb="FF000000"/>
        <rFont val="Consolas"/>
        <family val="3"/>
        <charset val="204"/>
      </rPr>
      <t>randint(</t>
    </r>
    <r>
      <rPr>
        <sz val="9"/>
        <color rgb="FFFF4500"/>
        <rFont val="Consolas"/>
        <family val="3"/>
        <charset val="204"/>
      </rPr>
      <t>0</t>
    </r>
    <r>
      <rPr>
        <sz val="9"/>
        <color rgb="FF66CC66"/>
        <rFont val="Consolas"/>
        <family val="3"/>
        <charset val="204"/>
      </rPr>
      <t>,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9</t>
    </r>
    <r>
      <rPr>
        <sz val="9"/>
        <color rgb="FF000000"/>
        <rFont val="Consolas"/>
        <family val="3"/>
        <charset val="204"/>
      </rPr>
      <t>)</t>
    </r>
  </si>
  <si>
    <t>17.    </t>
  </si>
  <si>
    <r>
      <t>18.    </t>
    </r>
    <r>
      <rPr>
        <sz val="9"/>
        <color rgb="FF008000"/>
        <rFont val="Consolas"/>
        <family val="3"/>
        <charset val="204"/>
      </rPr>
      <t>sum</t>
    </r>
    <r>
      <rPr>
        <sz val="9"/>
        <color rgb="FF333333"/>
        <rFont val="Consolas"/>
        <family val="3"/>
        <charset val="204"/>
      </rPr>
      <t>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d1+d2+d3+d4+d5+d6+d7+d8+d9+d10+d11+d12</t>
    </r>
    <r>
      <rPr>
        <sz val="9"/>
        <color rgb="FF000000"/>
        <rFont val="Consolas"/>
        <family val="3"/>
        <charset val="204"/>
      </rPr>
      <t>)</t>
    </r>
  </si>
  <si>
    <t>19.    </t>
  </si>
  <si>
    <r>
      <t>20.    d14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008000"/>
        <rFont val="Consolas"/>
        <family val="3"/>
        <charset val="204"/>
      </rPr>
      <t>sum</t>
    </r>
    <r>
      <rPr>
        <sz val="9"/>
        <color rgb="FF333333"/>
        <rFont val="Consolas"/>
        <family val="3"/>
        <charset val="204"/>
      </rPr>
      <t> % </t>
    </r>
    <r>
      <rPr>
        <sz val="9"/>
        <color rgb="FFFF4500"/>
        <rFont val="Consolas"/>
        <family val="3"/>
        <charset val="204"/>
      </rPr>
      <t>10</t>
    </r>
  </si>
  <si>
    <r>
      <t>21.    d15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d14+</t>
    </r>
    <r>
      <rPr>
        <sz val="9"/>
        <color rgb="FF008000"/>
        <rFont val="Consolas"/>
        <family val="3"/>
        <charset val="204"/>
      </rPr>
      <t>sum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/ </t>
    </r>
    <r>
      <rPr>
        <sz val="9"/>
        <color rgb="FFFF4500"/>
        <rFont val="Consolas"/>
        <family val="3"/>
        <charset val="204"/>
      </rPr>
      <t>10</t>
    </r>
  </si>
  <si>
    <r>
      <t>22.    d16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d14+</t>
    </r>
    <r>
      <rPr>
        <sz val="9"/>
        <color rgb="FF008000"/>
        <rFont val="Consolas"/>
        <family val="3"/>
        <charset val="204"/>
      </rPr>
      <t>sum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% </t>
    </r>
    <r>
      <rPr>
        <sz val="9"/>
        <color rgb="FFFF4500"/>
        <rFont val="Consolas"/>
        <family val="3"/>
        <charset val="204"/>
      </rPr>
      <t>10</t>
    </r>
  </si>
  <si>
    <t>23.    </t>
  </si>
  <si>
    <r>
      <t>24.    value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d3*</t>
    </r>
    <r>
      <rPr>
        <sz val="9"/>
        <color rgb="FFFF4500"/>
        <rFont val="Consolas"/>
        <family val="3"/>
        <charset val="204"/>
      </rPr>
      <t>1000</t>
    </r>
    <r>
      <rPr>
        <sz val="9"/>
        <color rgb="FF333333"/>
        <rFont val="Consolas"/>
        <family val="3"/>
        <charset val="204"/>
      </rPr>
      <t> + d5*</t>
    </r>
    <r>
      <rPr>
        <sz val="9"/>
        <color rgb="FFFF4500"/>
        <rFont val="Consolas"/>
        <family val="3"/>
        <charset val="204"/>
      </rPr>
      <t>100</t>
    </r>
    <r>
      <rPr>
        <sz val="9"/>
        <color rgb="FF333333"/>
        <rFont val="Consolas"/>
        <family val="3"/>
        <charset val="204"/>
      </rPr>
      <t> + d8*</t>
    </r>
    <r>
      <rPr>
        <sz val="9"/>
        <color rgb="FFFF4500"/>
        <rFont val="Consolas"/>
        <family val="3"/>
        <charset val="204"/>
      </rPr>
      <t>10</t>
    </r>
    <r>
      <rPr>
        <sz val="9"/>
        <color rgb="FF333333"/>
        <rFont val="Consolas"/>
        <family val="3"/>
        <charset val="204"/>
      </rPr>
      <t> + d13</t>
    </r>
  </si>
  <si>
    <r>
      <t>25.    </t>
    </r>
    <r>
      <rPr>
        <b/>
        <sz val="9"/>
        <color rgb="FFFF7700"/>
        <rFont val="Consolas"/>
        <family val="3"/>
        <charset val="204"/>
      </rPr>
      <t>if</t>
    </r>
    <r>
      <rPr>
        <sz val="9"/>
        <color rgb="FF333333"/>
        <rFont val="Consolas"/>
        <family val="3"/>
        <charset val="204"/>
      </rPr>
      <t> 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value </t>
    </r>
    <r>
      <rPr>
        <sz val="9"/>
        <color rgb="FF66CC66"/>
        <rFont val="Consolas"/>
        <family val="3"/>
        <charset val="204"/>
      </rPr>
      <t>&gt;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7580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</t>
    </r>
    <r>
      <rPr>
        <b/>
        <sz val="9"/>
        <color rgb="FFFF7700"/>
        <rFont val="Consolas"/>
        <family val="3"/>
        <charset val="204"/>
      </rPr>
      <t>and</t>
    </r>
    <r>
      <rPr>
        <sz val="9"/>
        <color rgb="FF333333"/>
        <rFont val="Consolas"/>
        <family val="3"/>
        <charset val="204"/>
      </rPr>
      <t> 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value </t>
    </r>
    <r>
      <rPr>
        <sz val="9"/>
        <color rgb="FF66CC66"/>
        <rFont val="Consolas"/>
        <family val="3"/>
        <charset val="204"/>
      </rPr>
      <t>&lt;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7695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:</t>
    </r>
  </si>
  <si>
    <r>
      <t>26.       working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FF4500"/>
        <rFont val="Consolas"/>
        <family val="3"/>
        <charset val="204"/>
      </rPr>
      <t>0</t>
    </r>
  </si>
  <si>
    <t>27.  </t>
  </si>
  <si>
    <r>
      <t>28. key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d2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d3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d4</t>
    </r>
    <r>
      <rPr>
        <sz val="9"/>
        <color rgb="FF000000"/>
        <rFont val="Consolas"/>
        <family val="3"/>
        <charset val="204"/>
      </rPr>
      <t>)</t>
    </r>
  </si>
  <si>
    <r>
      <t>29. key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key 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d5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d6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d7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+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d8</t>
    </r>
    <r>
      <rPr>
        <sz val="9"/>
        <color rgb="FF000000"/>
        <rFont val="Consolas"/>
        <family val="3"/>
        <charset val="204"/>
      </rPr>
      <t>)</t>
    </r>
  </si>
  <si>
    <r>
      <t>30. key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key 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d9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d10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d11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+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d12</t>
    </r>
    <r>
      <rPr>
        <sz val="9"/>
        <color rgb="FF000000"/>
        <rFont val="Consolas"/>
        <family val="3"/>
        <charset val="204"/>
      </rPr>
      <t>)</t>
    </r>
  </si>
  <si>
    <r>
      <t>31. key </t>
    </r>
    <r>
      <rPr>
        <sz val="9"/>
        <color rgb="FF66CC66"/>
        <rFont val="Consolas"/>
        <family val="3"/>
        <charset val="204"/>
      </rPr>
      <t>=</t>
    </r>
    <r>
      <rPr>
        <sz val="9"/>
        <color rgb="FF333333"/>
        <rFont val="Consolas"/>
        <family val="3"/>
        <charset val="204"/>
      </rPr>
      <t> key 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d13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d14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 + 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d15</t>
    </r>
    <r>
      <rPr>
        <sz val="9"/>
        <color rgb="FF000000"/>
        <rFont val="Consolas"/>
        <family val="3"/>
        <charset val="204"/>
      </rPr>
      <t>)</t>
    </r>
    <r>
      <rPr>
        <sz val="9"/>
        <color rgb="FF333333"/>
        <rFont val="Consolas"/>
        <family val="3"/>
        <charset val="204"/>
      </rPr>
      <t>+</t>
    </r>
    <r>
      <rPr>
        <sz val="9"/>
        <color rgb="FF008000"/>
        <rFont val="Consolas"/>
        <family val="3"/>
        <charset val="204"/>
      </rPr>
      <t>str</t>
    </r>
    <r>
      <rPr>
        <sz val="9"/>
        <color rgb="FF000000"/>
        <rFont val="Consolas"/>
        <family val="3"/>
        <charset val="204"/>
      </rPr>
      <t>(</t>
    </r>
    <r>
      <rPr>
        <sz val="9"/>
        <color rgb="FF333333"/>
        <rFont val="Consolas"/>
        <family val="3"/>
        <charset val="204"/>
      </rPr>
      <t>d16</t>
    </r>
    <r>
      <rPr>
        <sz val="9"/>
        <color rgb="FF000000"/>
        <rFont val="Consolas"/>
        <family val="3"/>
        <charset val="204"/>
      </rPr>
      <t>)</t>
    </r>
  </si>
  <si>
    <t>32.  </t>
  </si>
  <si>
    <r>
      <t>33. print</t>
    </r>
    <r>
      <rPr>
        <sz val="9"/>
        <color rgb="FF333333"/>
        <rFont val="Consolas"/>
        <family val="3"/>
        <charset val="204"/>
      </rPr>
      <t> </t>
    </r>
    <r>
      <rPr>
        <sz val="9"/>
        <color rgb="FF483D8B"/>
        <rFont val="Consolas"/>
        <family val="3"/>
        <charset val="204"/>
      </rPr>
      <t>"Your key: "</t>
    </r>
    <r>
      <rPr>
        <sz val="9"/>
        <color rgb="FF333333"/>
        <rFont val="Consolas"/>
        <family val="3"/>
        <charset val="204"/>
      </rPr>
      <t> + key</t>
    </r>
  </si>
  <si>
    <t>величин</t>
  </si>
  <si>
    <r>
      <t>Есть 4 вспомогательные переменные: </t>
    </r>
    <r>
      <rPr>
        <b/>
        <sz val="11"/>
        <color rgb="FF333333"/>
        <rFont val="Verdana"/>
        <family val="2"/>
        <charset val="204"/>
      </rPr>
      <t>sum</t>
    </r>
    <r>
      <rPr>
        <sz val="11"/>
        <color rgb="FF333333"/>
        <rFont val="Verdana"/>
        <family val="2"/>
        <charset val="204"/>
      </rPr>
      <t> - сумма первых 12 цифр; </t>
    </r>
    <r>
      <rPr>
        <b/>
        <sz val="11"/>
        <color rgb="FF333333"/>
        <rFont val="Verdana"/>
        <family val="2"/>
        <charset val="204"/>
      </rPr>
      <t/>
    </r>
  </si>
  <si>
    <t>checksum - эквивалентен i14, остаток от целочисленного деления sum на 10; </t>
  </si>
  <si>
    <t>checksum2 - пятнадцатая и шестнадцатая цифры, численно равен сумме sum и checksum</t>
  </si>
  <si>
    <t>1е пикинеры</t>
  </si>
  <si>
    <t>2е пикинеры</t>
  </si>
  <si>
    <t>Далянь</t>
  </si>
  <si>
    <t>2е стрелки</t>
  </si>
  <si>
    <t>3и триарии</t>
  </si>
  <si>
    <t>4е триарии</t>
  </si>
  <si>
    <t>равнины и луга</t>
  </si>
  <si>
    <t>Чуаньчан</t>
  </si>
  <si>
    <t>Манила</t>
  </si>
  <si>
    <t>мах. войск</t>
  </si>
  <si>
    <t>Булгар</t>
  </si>
  <si>
    <t>Петр Алексеевич</t>
  </si>
  <si>
    <t>ур. Мл</t>
  </si>
  <si>
    <t>ур. ОН</t>
  </si>
  <si>
    <t>ур. Мн</t>
  </si>
  <si>
    <t>3и рыцари</t>
  </si>
  <si>
    <t>Увек</t>
  </si>
  <si>
    <t>Биау</t>
  </si>
  <si>
    <t>1й мечник</t>
  </si>
  <si>
    <t>мечники</t>
  </si>
  <si>
    <t>Опус Деи</t>
  </si>
  <si>
    <t>5е триарии</t>
  </si>
  <si>
    <t>6е триарии</t>
  </si>
  <si>
    <t>М</t>
  </si>
  <si>
    <t>Б</t>
  </si>
  <si>
    <t>Н</t>
  </si>
  <si>
    <t>3и пикинеры</t>
  </si>
  <si>
    <t>4е пикинеры</t>
  </si>
  <si>
    <t>4е рыцари</t>
  </si>
  <si>
    <t>Морское производство</t>
  </si>
  <si>
    <t>Морское производство 1</t>
  </si>
  <si>
    <t>Ра-Кедет</t>
  </si>
  <si>
    <t>Киото</t>
  </si>
  <si>
    <t>1я эскадрилья</t>
  </si>
  <si>
    <t>2я эскадрилья</t>
  </si>
  <si>
    <t>3я эскадрилья</t>
  </si>
  <si>
    <t>2е пикирены</t>
  </si>
  <si>
    <t>5е рыцари</t>
  </si>
  <si>
    <t>Нас</t>
  </si>
  <si>
    <t>4я эскадрилья</t>
  </si>
  <si>
    <t>5я эскадрилья</t>
  </si>
  <si>
    <t>6я эскадрилья</t>
  </si>
  <si>
    <t>7я эскадрилья</t>
  </si>
  <si>
    <t>5я ватага</t>
  </si>
  <si>
    <t>арбалетчики</t>
  </si>
  <si>
    <t>древность</t>
  </si>
  <si>
    <t>античность</t>
  </si>
  <si>
    <t>Темные века</t>
  </si>
  <si>
    <t>средневековье</t>
  </si>
  <si>
    <t>возрождение</t>
  </si>
  <si>
    <t>новое время</t>
  </si>
  <si>
    <t>новейшее время</t>
  </si>
  <si>
    <t>атомный век</t>
  </si>
  <si>
    <t>эра информации</t>
  </si>
  <si>
    <t>Арктика</t>
  </si>
  <si>
    <t>Дубль</t>
  </si>
  <si>
    <t>1е бипланы</t>
  </si>
  <si>
    <t>2е бипланы</t>
  </si>
  <si>
    <t>4е бипланы</t>
  </si>
  <si>
    <t>3и бипланы</t>
  </si>
  <si>
    <t>5е бипланы</t>
  </si>
  <si>
    <t>Синь Далянь</t>
  </si>
  <si>
    <t>все войска нации получают преимущество в атаке</t>
  </si>
  <si>
    <t>Брум</t>
  </si>
  <si>
    <t>Лондон</t>
  </si>
  <si>
    <t>2е арбалетчики</t>
  </si>
  <si>
    <t>8я эскадрилья</t>
  </si>
  <si>
    <t>3и арбалетчики</t>
  </si>
  <si>
    <t>1й авиаполк</t>
  </si>
  <si>
    <t>2й авиаполк</t>
  </si>
  <si>
    <t>3й авиаполк</t>
  </si>
  <si>
    <t>6е бипланы</t>
  </si>
  <si>
    <t>7е бипланы</t>
  </si>
  <si>
    <t>8е бипланы</t>
  </si>
  <si>
    <t>9е бипланы</t>
  </si>
  <si>
    <t>1е гвардейцы</t>
  </si>
  <si>
    <t>2я батарея</t>
  </si>
  <si>
    <t>1й отдельный штурмовой батальон</t>
  </si>
  <si>
    <t>1я батарея</t>
  </si>
  <si>
    <t>3я батарея</t>
  </si>
  <si>
    <t>4я батарея</t>
  </si>
  <si>
    <t>5я батарея</t>
  </si>
  <si>
    <t>6я батарея</t>
  </si>
  <si>
    <t>7я батарея</t>
  </si>
  <si>
    <t>8я батарея</t>
  </si>
  <si>
    <t>4й полк Ченду J-20</t>
  </si>
  <si>
    <t>3й полк Чэнду J-20 «Черный орел»</t>
  </si>
  <si>
    <t>2-й отдельный штурмовой батальон</t>
  </si>
  <si>
    <t>2й полк Чэнду J-20 «Черный орел»</t>
  </si>
  <si>
    <t>1й полк Чженду J-20М «Морской орел»</t>
  </si>
  <si>
    <t>2й полк Чженду J-20 "Морской орел"</t>
  </si>
  <si>
    <t>5-й полк Чэнду J-20 «Черный орел»</t>
  </si>
  <si>
    <t>6-й полк Чэнду J-20 «Черный орел»</t>
  </si>
  <si>
    <t>7-й полк Чэнду J-20 «Черный орел»</t>
  </si>
  <si>
    <t>3 + эйфилева</t>
  </si>
  <si>
    <t>2 + Совбез</t>
  </si>
  <si>
    <t>3 + Генсек</t>
  </si>
  <si>
    <t>3 + Лувр + Сидней + Пентагон</t>
  </si>
  <si>
    <t>+1М +1Б</t>
  </si>
  <si>
    <t>+2Б</t>
  </si>
  <si>
    <t>+2М</t>
  </si>
  <si>
    <t>+1Н</t>
  </si>
  <si>
    <t>+1Б</t>
  </si>
  <si>
    <t>+1М</t>
  </si>
  <si>
    <t>допы.</t>
  </si>
  <si>
    <t>1 + замгенсек +БАК</t>
  </si>
  <si>
    <t>1е катюши</t>
  </si>
  <si>
    <t>4й авиаполк</t>
  </si>
  <si>
    <t>2е катюши</t>
  </si>
  <si>
    <t>5й авиаполк</t>
  </si>
  <si>
    <t>6я ватага</t>
  </si>
  <si>
    <t>1е РСЗО</t>
  </si>
  <si>
    <t>10е бипланы</t>
  </si>
  <si>
    <t>11е бипланы</t>
  </si>
  <si>
    <t>12е бипланы</t>
  </si>
  <si>
    <t>Урумчи</t>
  </si>
  <si>
    <t xml:space="preserve">9й РСЗО Донгфенг </t>
  </si>
  <si>
    <t xml:space="preserve">10й РСЗО Донгфенг </t>
  </si>
  <si>
    <t xml:space="preserve">11й РСЗО Донгфенг </t>
  </si>
  <si>
    <t>8й РЭ Дженду J-20</t>
  </si>
  <si>
    <t>9я РЭ Дженду J-20</t>
  </si>
  <si>
    <t>10я РЭ Дженду J-20</t>
  </si>
  <si>
    <t>3я катюша</t>
  </si>
  <si>
    <t>4я катюша</t>
  </si>
  <si>
    <t>5я катюша</t>
  </si>
  <si>
    <t>1й истребитель</t>
  </si>
  <si>
    <t>2й истребитель</t>
  </si>
  <si>
    <t>9я батарея</t>
  </si>
  <si>
    <t>3й истребитель</t>
  </si>
  <si>
    <t>1е аркебузиры</t>
  </si>
  <si>
    <t>4й истребитель</t>
  </si>
  <si>
    <t>13е бипланы</t>
  </si>
  <si>
    <t>14е бипланы</t>
  </si>
  <si>
    <t>15е бипланы</t>
  </si>
  <si>
    <t>16е бипланы</t>
  </si>
  <si>
    <t>7я ватага</t>
  </si>
  <si>
    <t>9я эскадрилья</t>
  </si>
  <si>
    <t>10я эскадрилья</t>
  </si>
  <si>
    <t>6я катюша</t>
  </si>
  <si>
    <t>6й авиаполк</t>
  </si>
  <si>
    <t>2е гвардейцы</t>
  </si>
  <si>
    <t>7я катюша</t>
  </si>
  <si>
    <t>7й авиаполк</t>
  </si>
  <si>
    <t>9я/2 эскадрилья</t>
  </si>
  <si>
    <t>17е бипланы</t>
  </si>
  <si>
    <t>18е бипланы</t>
  </si>
  <si>
    <t xml:space="preserve">12й РСЗО Донгфенг </t>
  </si>
  <si>
    <t>9й Дженду</t>
  </si>
  <si>
    <t xml:space="preserve">13й РСЗО Донгфенг </t>
  </si>
  <si>
    <t>2е аркебузиры</t>
  </si>
  <si>
    <t xml:space="preserve">14й РСЗО Донгфенг </t>
  </si>
  <si>
    <t xml:space="preserve">15й РСЗО Донгфенг </t>
  </si>
  <si>
    <t>3и аркебузиры</t>
  </si>
  <si>
    <t xml:space="preserve">16й РСЗО Донгфенг </t>
  </si>
  <si>
    <t>4е аркебузиры</t>
  </si>
  <si>
    <t xml:space="preserve">17й РСЗО Донгфенг </t>
  </si>
  <si>
    <t>5е аркебузиры</t>
  </si>
  <si>
    <t>8я катюша</t>
  </si>
  <si>
    <t>8й авиаполк</t>
  </si>
  <si>
    <t>9я катюша</t>
  </si>
  <si>
    <t>9й авиаполк</t>
  </si>
  <si>
    <t>1й танк</t>
  </si>
  <si>
    <t>10я катюша</t>
  </si>
  <si>
    <t>10й авиаполк</t>
  </si>
  <si>
    <t>11я катюша</t>
  </si>
  <si>
    <t>11й авиаполк</t>
  </si>
  <si>
    <t>12я катюша</t>
  </si>
  <si>
    <t>12й авиаполк</t>
  </si>
  <si>
    <t>2й танк</t>
  </si>
  <si>
    <t>8я ватага</t>
  </si>
  <si>
    <t>9я ватага</t>
  </si>
  <si>
    <t>2е РСЗО</t>
  </si>
  <si>
    <t>3и РСЗО</t>
  </si>
  <si>
    <t>1е арбалетчики/РСЗО</t>
  </si>
  <si>
    <t>р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</si>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</sst>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#;\-#;\-"/>
    <numFmt numFmtId="165" formatCode="\+0"/>
    <numFmt numFmtId="166" formatCode="[$-F400]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color rgb="FF333333"/>
      <name val="Consolas"/>
      <family val="3"/>
      <charset val="204"/>
    </font>
    <font>
      <sz val="9"/>
      <color rgb="FF66CC66"/>
      <name val="Consolas"/>
      <family val="3"/>
      <charset val="204"/>
    </font>
    <font>
      <sz val="9"/>
      <color rgb="FFFF4500"/>
      <name val="Consolas"/>
      <family val="3"/>
      <charset val="204"/>
    </font>
    <font>
      <b/>
      <sz val="9"/>
      <color rgb="FFFF7700"/>
      <name val="Consolas"/>
      <family val="3"/>
      <charset val="204"/>
    </font>
    <font>
      <sz val="9"/>
      <color rgb="FFDC143C"/>
      <name val="Consolas"/>
      <family val="3"/>
      <charset val="204"/>
    </font>
    <font>
      <sz val="9"/>
      <color rgb="FF000000"/>
      <name val="Consolas"/>
      <family val="3"/>
      <charset val="204"/>
    </font>
    <font>
      <sz val="9"/>
      <color rgb="FF008000"/>
      <name val="Consolas"/>
      <family val="3"/>
      <charset val="204"/>
    </font>
    <font>
      <sz val="9"/>
      <color rgb="FF483D8B"/>
      <name val="Consolas"/>
      <family val="3"/>
      <charset val="204"/>
    </font>
    <font>
      <sz val="11"/>
      <color rgb="FF333333"/>
      <name val="Verdana"/>
      <family val="2"/>
      <charset val="204"/>
    </font>
    <font>
      <b/>
      <sz val="11"/>
      <color rgb="FF333333"/>
      <name val="Verdana"/>
      <family val="2"/>
      <charset val="204"/>
    </font>
    <font>
      <sz val="11"/>
      <color theme="0" tint="-0.3499862666707357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inden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1" xfId="0" applyBorder="1" applyAlignment="1">
      <alignment horizontal="center" textRotation="90" wrapText="1"/>
    </xf>
    <xf numFmtId="0" fontId="0" fillId="7" borderId="1" xfId="0" applyFill="1" applyBorder="1"/>
    <xf numFmtId="0" fontId="6" fillId="7" borderId="1" xfId="0" applyFont="1" applyFill="1" applyBorder="1" applyAlignment="1">
      <alignment horizontal="left" vertical="center" indent="1"/>
    </xf>
    <xf numFmtId="0" fontId="0" fillId="7" borderId="1" xfId="0" applyFill="1" applyBorder="1" applyAlignment="1">
      <alignment horizontal="center"/>
    </xf>
    <xf numFmtId="0" fontId="0" fillId="6" borderId="1" xfId="0" applyFill="1" applyBorder="1"/>
    <xf numFmtId="0" fontId="6" fillId="6" borderId="1" xfId="0" applyFont="1" applyFill="1" applyBorder="1" applyAlignment="1">
      <alignment horizontal="left" vertical="center" indent="1"/>
    </xf>
    <xf numFmtId="0" fontId="0" fillId="6" borderId="1" xfId="0" applyFill="1" applyBorder="1" applyAlignment="1">
      <alignment horizontal="center"/>
    </xf>
    <xf numFmtId="0" fontId="0" fillId="9" borderId="1" xfId="0" applyFill="1" applyBorder="1"/>
    <xf numFmtId="0" fontId="6" fillId="9" borderId="1" xfId="0" applyFont="1" applyFill="1" applyBorder="1" applyAlignment="1">
      <alignment horizontal="left" vertical="center" indent="1"/>
    </xf>
    <xf numFmtId="0" fontId="0" fillId="9" borderId="1" xfId="0" applyFill="1" applyBorder="1" applyAlignment="1">
      <alignment horizontal="center"/>
    </xf>
    <xf numFmtId="0" fontId="0" fillId="3" borderId="1" xfId="0" applyFill="1" applyBorder="1"/>
    <xf numFmtId="0" fontId="6" fillId="3" borderId="1" xfId="0" applyFont="1" applyFill="1" applyBorder="1" applyAlignment="1">
      <alignment horizontal="left" vertical="center" indent="1"/>
    </xf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6" fillId="8" borderId="1" xfId="0" applyFont="1" applyFill="1" applyBorder="1" applyAlignment="1">
      <alignment horizontal="left" vertical="center" indent="1"/>
    </xf>
    <xf numFmtId="0" fontId="0" fillId="8" borderId="1" xfId="0" applyFill="1" applyBorder="1" applyAlignment="1">
      <alignment horizontal="center"/>
    </xf>
    <xf numFmtId="49" fontId="0" fillId="0" borderId="1" xfId="0" applyNumberFormat="1" applyBorder="1"/>
    <xf numFmtId="49" fontId="0" fillId="7" borderId="1" xfId="0" applyNumberFormat="1" applyFill="1" applyBorder="1"/>
    <xf numFmtId="49" fontId="0" fillId="6" borderId="1" xfId="0" applyNumberFormat="1" applyFill="1" applyBorder="1"/>
    <xf numFmtId="49" fontId="0" fillId="9" borderId="1" xfId="0" applyNumberFormat="1" applyFill="1" applyBorder="1"/>
    <xf numFmtId="49" fontId="0" fillId="3" borderId="1" xfId="0" applyNumberFormat="1" applyFill="1" applyBorder="1"/>
    <xf numFmtId="49" fontId="0" fillId="8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textRotation="90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textRotation="90" wrapText="1"/>
    </xf>
    <xf numFmtId="0" fontId="6" fillId="0" borderId="1" xfId="0" applyFont="1" applyBorder="1" applyAlignment="1">
      <alignment horizontal="left" vertical="center" inden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10" borderId="1" xfId="0" applyFill="1" applyBorder="1"/>
    <xf numFmtId="0" fontId="0" fillId="10" borderId="1" xfId="0" applyFill="1" applyBorder="1" applyAlignment="1">
      <alignment horizontal="center" textRotation="90"/>
    </xf>
    <xf numFmtId="0" fontId="0" fillId="10" borderId="1" xfId="0" applyFill="1" applyBorder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 textRotation="90"/>
    </xf>
    <xf numFmtId="0" fontId="0" fillId="11" borderId="1" xfId="0" applyFill="1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12" borderId="1" xfId="0" applyFill="1" applyBorder="1"/>
    <xf numFmtId="0" fontId="0" fillId="12" borderId="1" xfId="0" applyFill="1" applyBorder="1" applyAlignment="1">
      <alignment horizontal="center" textRotation="90"/>
    </xf>
    <xf numFmtId="0" fontId="0" fillId="12" borderId="1" xfId="0" applyFill="1" applyBorder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 textRotation="90"/>
    </xf>
    <xf numFmtId="0" fontId="0" fillId="5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textRotation="90"/>
    </xf>
    <xf numFmtId="0" fontId="0" fillId="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textRotation="90"/>
    </xf>
    <xf numFmtId="0" fontId="0" fillId="4" borderId="1" xfId="0" applyFill="1" applyBorder="1" applyAlignment="1">
      <alignment horizontal="center"/>
    </xf>
    <xf numFmtId="0" fontId="0" fillId="13" borderId="1" xfId="0" applyFill="1" applyBorder="1"/>
    <xf numFmtId="0" fontId="0" fillId="13" borderId="1" xfId="0" applyFill="1" applyBorder="1" applyAlignment="1">
      <alignment horizontal="center" textRotation="90"/>
    </xf>
    <xf numFmtId="0" fontId="0" fillId="13" borderId="1" xfId="0" applyFill="1" applyBorder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center"/>
    </xf>
    <xf numFmtId="0" fontId="0" fillId="3" borderId="1" xfId="0" applyFill="1" applyBorder="1" applyAlignment="1">
      <alignment horizontal="center" textRotation="90"/>
    </xf>
    <xf numFmtId="0" fontId="0" fillId="0" borderId="0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14" borderId="0" xfId="0" applyFill="1"/>
    <xf numFmtId="0" fontId="0" fillId="0" borderId="0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0" xfId="0" applyFont="1"/>
    <xf numFmtId="0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/>
    <xf numFmtId="0" fontId="0" fillId="0" borderId="9" xfId="0" applyBorder="1"/>
    <xf numFmtId="0" fontId="0" fillId="5" borderId="10" xfId="0" applyFill="1" applyBorder="1"/>
    <xf numFmtId="0" fontId="0" fillId="5" borderId="10" xfId="0" applyFill="1" applyBorder="1" applyAlignment="1">
      <alignment horizontal="center"/>
    </xf>
    <xf numFmtId="0" fontId="0" fillId="10" borderId="10" xfId="0" applyFill="1" applyBorder="1"/>
    <xf numFmtId="0" fontId="0" fillId="10" borderId="10" xfId="0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12" borderId="10" xfId="0" applyFill="1" applyBorder="1"/>
    <xf numFmtId="0" fontId="0" fillId="12" borderId="10" xfId="0" applyFill="1" applyBorder="1" applyAlignment="1">
      <alignment horizontal="center"/>
    </xf>
    <xf numFmtId="0" fontId="0" fillId="13" borderId="10" xfId="0" applyFill="1" applyBorder="1"/>
    <xf numFmtId="0" fontId="0" fillId="13" borderId="10" xfId="0" applyFill="1" applyBorder="1" applyAlignment="1">
      <alignment horizontal="center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0" fontId="0" fillId="10" borderId="7" xfId="0" applyFill="1" applyBorder="1"/>
    <xf numFmtId="0" fontId="0" fillId="10" borderId="7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12" borderId="7" xfId="0" applyFill="1" applyBorder="1"/>
    <xf numFmtId="0" fontId="0" fillId="12" borderId="7" xfId="0" applyFill="1" applyBorder="1" applyAlignment="1">
      <alignment horizontal="center"/>
    </xf>
    <xf numFmtId="0" fontId="0" fillId="13" borderId="7" xfId="0" applyFill="1" applyBorder="1"/>
    <xf numFmtId="0" fontId="0" fillId="13" borderId="7" xfId="0" applyFill="1" applyBorder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5" borderId="11" xfId="0" applyFill="1" applyBorder="1"/>
    <xf numFmtId="0" fontId="0" fillId="5" borderId="11" xfId="0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10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0" fillId="1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11" borderId="0" xfId="0" applyFill="1" applyAlignment="1">
      <alignment horizontal="left"/>
    </xf>
    <xf numFmtId="2" fontId="0" fillId="5" borderId="0" xfId="0" applyNumberFormat="1" applyFill="1"/>
    <xf numFmtId="2" fontId="0" fillId="5" borderId="0" xfId="0" applyNumberFormat="1" applyFill="1" applyAlignment="1">
      <alignment horizontal="left"/>
    </xf>
    <xf numFmtId="2" fontId="0" fillId="5" borderId="0" xfId="0" applyNumberFormat="1" applyFill="1" applyAlignment="1">
      <alignment horizontal="center"/>
    </xf>
    <xf numFmtId="2" fontId="0" fillId="10" borderId="0" xfId="0" applyNumberFormat="1" applyFill="1"/>
    <xf numFmtId="2" fontId="0" fillId="10" borderId="0" xfId="0" applyNumberFormat="1" applyFill="1" applyAlignment="1">
      <alignment horizontal="left"/>
    </xf>
    <xf numFmtId="2" fontId="0" fillId="10" borderId="0" xfId="0" applyNumberFormat="1" applyFill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Alignment="1">
      <alignment horizontal="left"/>
    </xf>
    <xf numFmtId="2" fontId="0" fillId="2" borderId="0" xfId="0" applyNumberFormat="1" applyFill="1" applyAlignment="1">
      <alignment horizontal="center"/>
    </xf>
    <xf numFmtId="2" fontId="0" fillId="12" borderId="0" xfId="0" applyNumberFormat="1" applyFill="1"/>
    <xf numFmtId="2" fontId="0" fillId="12" borderId="0" xfId="0" applyNumberFormat="1" applyFill="1" applyAlignment="1">
      <alignment horizontal="left"/>
    </xf>
    <xf numFmtId="2" fontId="0" fillId="12" borderId="0" xfId="0" applyNumberFormat="1" applyFill="1" applyAlignment="1">
      <alignment horizontal="center"/>
    </xf>
    <xf numFmtId="2" fontId="0" fillId="13" borderId="0" xfId="0" applyNumberFormat="1" applyFill="1"/>
    <xf numFmtId="2" fontId="0" fillId="13" borderId="0" xfId="0" applyNumberFormat="1" applyFill="1" applyAlignment="1">
      <alignment horizontal="center"/>
    </xf>
    <xf numFmtId="2" fontId="0" fillId="4" borderId="0" xfId="0" applyNumberFormat="1" applyFill="1"/>
    <xf numFmtId="2" fontId="0" fillId="4" borderId="0" xfId="0" applyNumberFormat="1" applyFill="1" applyAlignment="1">
      <alignment horizontal="left"/>
    </xf>
    <xf numFmtId="2" fontId="0" fillId="4" borderId="0" xfId="0" applyNumberFormat="1" applyFill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left"/>
    </xf>
    <xf numFmtId="2" fontId="0" fillId="3" borderId="0" xfId="0" applyNumberFormat="1" applyFill="1" applyAlignment="1">
      <alignment horizontal="center"/>
    </xf>
    <xf numFmtId="2" fontId="0" fillId="11" borderId="0" xfId="0" applyNumberFormat="1" applyFill="1"/>
    <xf numFmtId="2" fontId="0" fillId="11" borderId="0" xfId="0" applyNumberFormat="1" applyFill="1" applyAlignment="1">
      <alignment horizontal="left"/>
    </xf>
    <xf numFmtId="2" fontId="0" fillId="11" borderId="0" xfId="0" applyNumberFormat="1" applyFill="1" applyAlignment="1">
      <alignment horizontal="center"/>
    </xf>
    <xf numFmtId="2" fontId="0" fillId="13" borderId="0" xfId="0" applyNumberFormat="1" applyFill="1" applyAlignment="1">
      <alignment horizontal="left"/>
    </xf>
    <xf numFmtId="0" fontId="0" fillId="11" borderId="10" xfId="0" applyFill="1" applyBorder="1"/>
    <xf numFmtId="0" fontId="0" fillId="11" borderId="10" xfId="0" applyFill="1" applyBorder="1" applyAlignment="1">
      <alignment horizontal="center"/>
    </xf>
    <xf numFmtId="0" fontId="0" fillId="10" borderId="11" xfId="0" applyFill="1" applyBorder="1"/>
    <xf numFmtId="0" fontId="0" fillId="10" borderId="1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12" borderId="11" xfId="0" applyFill="1" applyBorder="1"/>
    <xf numFmtId="0" fontId="0" fillId="12" borderId="11" xfId="0" applyFill="1" applyBorder="1" applyAlignment="1">
      <alignment horizontal="center"/>
    </xf>
    <xf numFmtId="0" fontId="0" fillId="13" borderId="11" xfId="0" applyFill="1" applyBorder="1"/>
    <xf numFmtId="0" fontId="0" fillId="13" borderId="11" xfId="0" applyFill="1" applyBorder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11" borderId="11" xfId="0" applyFill="1" applyBorder="1"/>
    <xf numFmtId="0" fontId="0" fillId="11" borderId="11" xfId="0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0" borderId="0" xfId="0"/>
    <xf numFmtId="0" fontId="0" fillId="7" borderId="10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1" xfId="0" applyFill="1" applyBorder="1" applyAlignment="1">
      <alignment vertical="center"/>
    </xf>
    <xf numFmtId="49" fontId="0" fillId="0" borderId="0" xfId="0" applyNumberFormat="1" applyAlignment="1">
      <alignment horizontal="left"/>
    </xf>
    <xf numFmtId="3" fontId="0" fillId="0" borderId="1" xfId="0" applyNumberForma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textRotation="90" wrapText="1"/>
    </xf>
    <xf numFmtId="0" fontId="4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 wrapText="1"/>
    </xf>
    <xf numFmtId="0" fontId="4" fillId="0" borderId="0" xfId="0" applyFont="1" applyAlignment="1">
      <alignment textRotation="90" wrapText="1"/>
    </xf>
    <xf numFmtId="0" fontId="2" fillId="0" borderId="1" xfId="0" applyFont="1" applyFill="1" applyBorder="1" applyAlignment="1">
      <alignment textRotation="90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9" borderId="0" xfId="0" applyFont="1" applyFill="1"/>
    <xf numFmtId="0" fontId="1" fillId="9" borderId="0" xfId="0" applyFont="1" applyFill="1" applyBorder="1"/>
    <xf numFmtId="0" fontId="0" fillId="0" borderId="13" xfId="0" applyBorder="1"/>
    <xf numFmtId="0" fontId="0" fillId="0" borderId="14" xfId="0" applyBorder="1"/>
    <xf numFmtId="0" fontId="1" fillId="9" borderId="14" xfId="0" applyFont="1" applyFill="1" applyBorder="1"/>
    <xf numFmtId="0" fontId="1" fillId="9" borderId="15" xfId="0" applyFont="1" applyFill="1" applyBorder="1"/>
    <xf numFmtId="0" fontId="0" fillId="0" borderId="1" xfId="0" applyBorder="1" applyAlignment="1">
      <alignment horizontal="center"/>
    </xf>
    <xf numFmtId="0" fontId="0" fillId="0" borderId="0" xfId="0"/>
    <xf numFmtId="0" fontId="5" fillId="9" borderId="15" xfId="0" applyFont="1" applyFill="1" applyBorder="1"/>
    <xf numFmtId="0" fontId="0" fillId="14" borderId="0" xfId="0" applyFill="1" applyBorder="1"/>
    <xf numFmtId="0" fontId="0" fillId="0" borderId="16" xfId="0" applyBorder="1"/>
    <xf numFmtId="0" fontId="0" fillId="15" borderId="1" xfId="0" applyFill="1" applyBorder="1" applyAlignment="1">
      <alignment textRotation="90" wrapText="1"/>
    </xf>
    <xf numFmtId="0" fontId="0" fillId="15" borderId="1" xfId="0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/>
    <xf numFmtId="0" fontId="8" fillId="0" borderId="17" xfId="0" applyFont="1" applyBorder="1" applyAlignment="1">
      <alignment horizontal="left" vertical="top" wrapText="1" indent="1"/>
    </xf>
    <xf numFmtId="0" fontId="11" fillId="0" borderId="17" xfId="0" applyFont="1" applyBorder="1" applyAlignment="1">
      <alignment horizontal="left" vertical="top" wrapText="1" indent="1"/>
    </xf>
    <xf numFmtId="0" fontId="16" fillId="0" borderId="0" xfId="0" applyFont="1"/>
    <xf numFmtId="0" fontId="8" fillId="0" borderId="0" xfId="0" applyFont="1" applyFill="1" applyBorder="1" applyAlignment="1">
      <alignment horizontal="left" vertical="top" inden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16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18" fillId="0" borderId="0" xfId="0" applyFont="1"/>
    <xf numFmtId="0" fontId="18" fillId="14" borderId="0" xfId="0" applyFont="1" applyFill="1"/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22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0" xfId="0"/>
    <xf numFmtId="0" fontId="0" fillId="5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6" fillId="0" borderId="0" xfId="0" applyFont="1"/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>
      <selection activeCell="B64" sqref="B64"/>
    </sheetView>
  </sheetViews>
  <sheetFormatPr defaultRowHeight="15" x14ac:dyDescent="0.25"/>
  <cols>
    <col min="1" max="2" width="8.7109375" customWidth="1"/>
    <col min="3" max="3" width="8.7109375" style="227" customWidth="1"/>
    <col min="4" max="4" width="8.7109375" customWidth="1"/>
    <col min="5" max="5" width="1.42578125" customWidth="1"/>
    <col min="6" max="6" width="67.85546875" customWidth="1"/>
    <col min="7" max="7" width="0.85546875" customWidth="1"/>
    <col min="8" max="8" width="67.85546875" customWidth="1"/>
    <col min="9" max="9" width="0.85546875" customWidth="1"/>
  </cols>
  <sheetData>
    <row r="1" spans="1:9" ht="15.75" thickBot="1" x14ac:dyDescent="0.3">
      <c r="E1" s="227" t="s">
        <v>37</v>
      </c>
      <c r="F1" s="230" t="s">
        <v>279</v>
      </c>
      <c r="G1" s="227" t="s">
        <v>37</v>
      </c>
      <c r="H1" s="230" t="s">
        <v>281</v>
      </c>
      <c r="I1" t="s">
        <v>37</v>
      </c>
    </row>
    <row r="2" spans="1:9" x14ac:dyDescent="0.25">
      <c r="A2" s="137"/>
      <c r="E2" s="227" t="s">
        <v>37</v>
      </c>
      <c r="F2" s="223"/>
      <c r="G2" s="227" t="s">
        <v>37</v>
      </c>
      <c r="H2" s="223"/>
      <c r="I2" s="227" t="s">
        <v>37</v>
      </c>
    </row>
    <row r="3" spans="1:9" x14ac:dyDescent="0.25">
      <c r="E3" s="227" t="s">
        <v>37</v>
      </c>
      <c r="F3" s="223" t="s">
        <v>317</v>
      </c>
      <c r="G3" s="227" t="s">
        <v>37</v>
      </c>
      <c r="H3" s="223" t="str">
        <f>F3</f>
        <v>[b]Сводная информация по нациям:[/b]</v>
      </c>
      <c r="I3" s="227" t="s">
        <v>37</v>
      </c>
    </row>
    <row r="4" spans="1:9" x14ac:dyDescent="0.25">
      <c r="E4" s="227" t="s">
        <v>37</v>
      </c>
      <c r="F4" s="223" t="str">
        <f ca="1">Нации!AF3</f>
        <v>[b]Русь.[/b] Лидер нации: Петр Алексеевич (эпоха: Будущее; форма правления: тоталитаризм)[br][ul][li][b]Москва[/b] (нас: 5). Чудо света: Сиднейский театр[/li][li][b]Рим[/b] (нас: 5)[/li][li][b]Пекин[/b] (нас: 5)[/li][li][b]Петербург[/b]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человек.[/ul]</v>
      </c>
      <c r="G4" s="227" t="s">
        <v>37</v>
      </c>
      <c r="H4" s="223" t="str">
        <f t="shared" ref="H4:H11" ca="1" si="0">F4</f>
        <v>[b]Русь.[/b] Лидер нации: Петр Алексеевич (эпоха: Будущее; форма правления: тоталитаризм)[br][ul][li][b]Москва[/b] (нас: 5). Чудо света: Сиднейский театр[/li][li][b]Рим[/b] (нас: 5)[/li][li][b]Пекин[/b] (нас: 5)[/li][li][b]Петербург[/b]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человек.[/ul]</v>
      </c>
      <c r="I4" s="227" t="s">
        <v>37</v>
      </c>
    </row>
    <row r="5" spans="1:9" hidden="1" x14ac:dyDescent="0.25">
      <c r="E5" s="227" t="s">
        <v>37</v>
      </c>
      <c r="F5" s="223" t="str">
        <f ca="1">Нации!AF4</f>
        <v>[b]Римская империя.[/b] Лидер нации: Брут (эпоха: Средневековье; форма правления: республика)[br][ul][br]Всего население (примерно, с учетом агломераций): 000  человек.[/ul]</v>
      </c>
      <c r="G5" s="227" t="s">
        <v>37</v>
      </c>
      <c r="H5" s="223" t="str">
        <f t="shared" ca="1" si="0"/>
        <v>[b]Римская империя.[/b] Лидер нации: Брут (эпоха: Средневековье; форма правления: республика)[br][ul][br]Всего население (примерно, с учетом агломераций): 000  человек.[/ul]</v>
      </c>
      <c r="I5" s="227" t="s">
        <v>37</v>
      </c>
    </row>
    <row r="6" spans="1:9" hidden="1" x14ac:dyDescent="0.25">
      <c r="E6" s="227" t="s">
        <v>37</v>
      </c>
      <c r="F6" s="223" t="str">
        <f ca="1">Нации!AF5</f>
        <v>[b]Индия.[/b] Лидер нации: अशोक (эпоха: Новое время; форма правления: федерация)[br][ul][br]Всего население (примерно, с учетом агломераций): 000  человек.[/ul]</v>
      </c>
      <c r="G6" s="227" t="s">
        <v>37</v>
      </c>
      <c r="H6" s="223" t="str">
        <f t="shared" ca="1" si="0"/>
        <v>[b]Индия.[/b] Лидер нации: अशोक (эпоха: Новое время; форма правления: федерация)[br][ul][br]Всего население (примерно, с учетом агломераций): 000  человек.[/ul]</v>
      </c>
      <c r="I6" s="227" t="s">
        <v>37</v>
      </c>
    </row>
    <row r="7" spans="1:9" x14ac:dyDescent="0.25">
      <c r="E7" s="227" t="s">
        <v>37</v>
      </c>
      <c r="F7" s="223" t="str">
        <f ca="1">Нации!AF6</f>
        <v>[b]Великие монголы.[/b] Лидер нации: Борте (эпоха: Будущее; форма правления: тоталитаризм)[br][ul][li][b]Астрахань[/b] (нас: 5)[/li][li][b]Мумбаи[/b] (нас: 1)[/li][br]Всего население (примерно, с учетом агломераций): 3 130 000  человек.[/ul]</v>
      </c>
      <c r="G7" s="227" t="s">
        <v>37</v>
      </c>
      <c r="H7" s="223" t="str">
        <f t="shared" ca="1" si="0"/>
        <v>[b]Великие монголы.[/b] Лидер нации: Борте (эпоха: Будущее; форма правления: тоталитаризм)[br][ul][li][b]Астрахань[/b] (нас: 5)[/li][li][b]Мумбаи[/b] (нас: 1)[/li][br]Всего население (примерно, с учетом агломераций): 3 130 000  человек.[/ul]</v>
      </c>
      <c r="I7" s="227" t="s">
        <v>37</v>
      </c>
    </row>
    <row r="8" spans="1:9" x14ac:dyDescent="0.25">
      <c r="E8" s="227" t="s">
        <v>37</v>
      </c>
      <c r="F8" s="223" t="str">
        <f ca="1">Нации!AF7</f>
        <v>[b]Поднебесная.[/b] Лидер нации: Юй (эпоха: Будущее; форма правления: тоталитаризм)[br][ul][li][b]Шанхай[/b]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человек.[/ul]</v>
      </c>
      <c r="G8" s="227" t="s">
        <v>37</v>
      </c>
      <c r="H8" s="223" t="str">
        <f t="shared" ca="1" si="0"/>
        <v>[b]Поднебесная.[/b] Лидер нации: Юй (эпоха: Будущее; форма правления: тоталитаризм)[br][ul][li][b]Шанхай[/b]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человек.[/ul]</v>
      </c>
      <c r="I8" s="227" t="s">
        <v>37</v>
      </c>
    </row>
    <row r="9" spans="1:9" x14ac:dyDescent="0.25">
      <c r="E9" s="227" t="s">
        <v>37</v>
      </c>
      <c r="F9" s="223" t="str">
        <f ca="1">Нации!AF8</f>
        <v>[b]Индонезия.[/b] Лидер нации: Саладор Сан (эпоха: Будущее; форма правления: тоталитаризм)[br][ul][li][b]Медая[/b]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человек.[/ul]</v>
      </c>
      <c r="G9" s="227" t="s">
        <v>37</v>
      </c>
      <c r="H9" s="223" t="str">
        <f t="shared" ca="1" si="0"/>
        <v>[b]Индонезия.[/b] Лидер нации: Саладор Сан (эпоха: Будущее; форма правления: тоталитаризм)[br][ul][li][b]Медая[/b]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человек.[/ul]</v>
      </c>
      <c r="I9" s="227" t="s">
        <v>37</v>
      </c>
    </row>
    <row r="10" spans="1:9" x14ac:dyDescent="0.25">
      <c r="E10" s="227" t="s">
        <v>37</v>
      </c>
      <c r="F10" s="223" t="str">
        <f ca="1">Нации!AF9</f>
        <v>[b]Египет.[/b] Лидер нации: Микерин (эпоха: Новое время; форма правления: демократия)[br][ul][li][b]Гиза[/b]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человек.[/ul]</v>
      </c>
      <c r="G10" s="227" t="s">
        <v>37</v>
      </c>
      <c r="H10" s="223" t="str">
        <f t="shared" ca="1" si="0"/>
        <v>[b]Египет.[/b] Лидер нации: Микерин (эпоха: Новое время; форма правления: демократия)[br][ul][li][b]Гиза[/b]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человек.[/ul]</v>
      </c>
      <c r="I10" s="227" t="s">
        <v>37</v>
      </c>
    </row>
    <row r="11" spans="1:9" s="137" customFormat="1" hidden="1" x14ac:dyDescent="0.25">
      <c r="C11" s="227"/>
      <c r="E11" s="227" t="s">
        <v>37</v>
      </c>
      <c r="F11" s="223" t="str">
        <f ca="1">Нации!AF10</f>
        <v>[b]Зулусы[/b] Лидер нации: Чака (эпоха: Древность; форма правления: деспотизм)[br][ul][li][b]Мгунгундлова[/b] (нас: 1)[/li][br]Всего население (примерно, с учетом агломераций): 5 000  человек.[/ul]</v>
      </c>
      <c r="G11" s="227" t="s">
        <v>37</v>
      </c>
      <c r="H11" s="223" t="str">
        <f t="shared" ca="1" si="0"/>
        <v>[b]Зулусы[/b] Лидер нации: Чака (эпоха: Древность; форма правления: деспотизм)[br][ul][li][b]Мгунгундлова[/b] (нас: 1)[/li][br]Всего население (примерно, с учетом агломераций): 5 000  человек.[/ul]</v>
      </c>
      <c r="I11" s="227" t="s">
        <v>37</v>
      </c>
    </row>
    <row r="12" spans="1:9" s="220" customFormat="1" ht="15.75" thickBot="1" x14ac:dyDescent="0.3">
      <c r="A12" s="220" t="str">
        <f>Нации!B3</f>
        <v>Русь</v>
      </c>
      <c r="E12" s="227" t="s">
        <v>37</v>
      </c>
      <c r="F12" s="228"/>
      <c r="G12" s="227" t="s">
        <v>37</v>
      </c>
      <c r="H12" s="228"/>
      <c r="I12" s="227" t="s">
        <v>37</v>
      </c>
    </row>
    <row r="13" spans="1:9" x14ac:dyDescent="0.25">
      <c r="A13" s="81" t="str">
        <f>VLOOKUP(A12,Нации!B$3:E$10,4,0)</f>
        <v>тоталитаризм</v>
      </c>
      <c r="C13" s="81"/>
      <c r="D13" s="137"/>
      <c r="E13" s="227" t="s">
        <v>37</v>
      </c>
      <c r="F13" s="222" t="str">
        <f>"[private="""&amp;VLOOKUP(A12,Нации!B$3:D$10,3,0)&amp;"""]Нация: "&amp;A12&amp;" (форма правления: "&amp;A13&amp;")"</f>
        <v>[private="Петр Алексеевич"]Нация: Русь (форма правления: тоталитаризм)</v>
      </c>
      <c r="G13" s="227" t="s">
        <v>37</v>
      </c>
      <c r="H13" s="223" t="str">
        <f>F13</f>
        <v>[private="Петр Алексеевич"]Нация: Русь (форма правления: тоталитаризм)</v>
      </c>
      <c r="I13" s="227" t="s">
        <v>37</v>
      </c>
    </row>
    <row r="14" spans="1:9" x14ac:dyDescent="0.25">
      <c r="A14" s="81">
        <f>VLOOKUP(A13,База!B$30:Q$38,16,0)</f>
        <v>1</v>
      </c>
      <c r="C14" s="81"/>
      <c r="E14" s="227" t="s">
        <v>37</v>
      </c>
      <c r="F14" s="223"/>
      <c r="G14" s="227" t="s">
        <v>37</v>
      </c>
      <c r="H14" s="223"/>
      <c r="I14" s="227" t="s">
        <v>37</v>
      </c>
    </row>
    <row r="15" spans="1:9" x14ac:dyDescent="0.25">
      <c r="A15" s="81" t="str">
        <f>"разведка ("&amp;1*A14&amp;" Власт"&amp;CHOOSE(A14,"ь","и")&amp;"). Допустимая дистанция движения: "&amp;HLOOKUP(A12,Наука!D$1:K$56,56,0)&amp;" (по воде: "&amp;HLOOKUP(A12,Наука!D$1:K$59,59,0)&amp;")"</f>
        <v>разведка (1 Власть). Допустимая дистанция движения: 8 (по воде: 14)</v>
      </c>
      <c r="B15" s="192" t="str">
        <f>"[u]Доступные действия[/u] (резолв производится строго в указанном порядке): [ul]"&amp;IF(A15&lt;&gt;"","[li]"&amp;A15&amp;"[/li]","")</f>
        <v>[u]Доступные действия[/u] (резолв производится строго в указанном порядке): [ul][li]разведка (1 Власть). Допустимая дистанция движения: 8 (по воде: 14)[/li]</v>
      </c>
      <c r="C15" s="81" t="str">
        <f>"[u]Доступные действия[/u] (резолв производится для каждого активированного города последовательно, строго в указанном порядке): [ul]"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D15" t="str">
        <f>C15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E15" s="227" t="s">
        <v>37</v>
      </c>
      <c r="F15" s="223" t="str">
        <f>"[br]Власть: "&amp;VLOOKUP(A12,Нации!B$3:G$10,6,0)+VLOOKUP(A12,Нации!B$3:AA$10,26,0)&amp;" (в начале хода получено "&amp;VLOOKUP(A12,Нации!B$3:AA$10,26,0)&amp;" Власти"&amp;IF(VLOOKUP(A12,Нации!B$3:AA$10,26,0)&gt;2,", в т.ч."&amp;IF(VLOOKUP(A12,Нации!B$3:AD$10,27,0)&gt;0," +"&amp;VLOOKUP(A12,Нации!B$3:AD$10,27,0)&amp;" (форма правления)","")&amp;IF(VLOOKUP(A12,Нации!B$3:AD$10,28,0)&gt;0," +"&amp;VLOOKUP(A12,Нации!B$3:AD$10,28,0)&amp;" (Чудеса света)","")&amp;IF(VLOOKUP(A12,Нации!B$3:AD$10,29,0)&gt;0," +"&amp;VLOOKUP(A12,Нации!B$3:AD$10,29,0)&amp;" (технологии)",""),"")&amp;"); Монеты: "&amp;VLOOKUP(A12,Нации!B$3:I$10,8,0)</f>
        <v>[br]Власть: 8 (в начале хода получено 8 Власти, в т.ч. +2 (форма правления) +4 (технологии)); Монеты: 35</v>
      </c>
      <c r="G15" s="227" t="s">
        <v>37</v>
      </c>
      <c r="H15" s="223" t="str">
        <f>"Власть: "&amp;VLOOKUP(A12,Нации!B$3:G$10,6,0)&amp;"; Казна: "&amp;VLOOKUP(A12,Нации!B$3:L$10,8,0)&amp;" монет; Очки науки (справочно): "&amp;VLOOKUP(A12,Нации!B$3:H$10,7,0)</f>
        <v>Власть: 0; Казна: 35 монет; Очки науки (справочно): 12</v>
      </c>
      <c r="I15" s="227" t="s">
        <v>37</v>
      </c>
    </row>
    <row r="16" spans="1:9" x14ac:dyDescent="0.25">
      <c r="A16" s="81" t="str">
        <f>IF(HLOOKUP(A12,Наука!D$1:K$61,61,0)&gt;0,"шпионаж (1 Власть за каждого активного шпиона)","")</f>
        <v>шпионаж (1 Власть за каждого активного шпиона)</v>
      </c>
      <c r="B16" s="137" t="str">
        <f t="shared" ref="B16:B25" si="1">B15&amp;IF(A16&lt;&gt;"","[li]"&amp;A16&amp;"[/li]","")</f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</v>
      </c>
      <c r="C16" s="81" t="str">
        <f>"активация города ("&amp;VLOOKUP(A13,База!B$30:G$38,6,0)&amp;" Власти каждый) и получение его базовых ресурсов"</f>
        <v>активация города (0 Власти каждый) и получение его базовых ресурсов</v>
      </c>
      <c r="D16" s="227" t="str">
        <f>D15&amp;IF(C16&lt;&gt;"","[li]"&amp;C16&amp;"[/li]","")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</v>
      </c>
      <c r="E16" s="227" t="s">
        <v>37</v>
      </c>
      <c r="F16" s="223" t="str">
        <f>B25</f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последующий)[/li][li]восстановление войск (уничтоженных войск нации: 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12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монархия, федерация, тоталитаризм[/li][li]объявление,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монеты, Власть.[/li]</v>
      </c>
      <c r="G16" s="227" t="s">
        <v>37</v>
      </c>
      <c r="H16" s="223" t="str">
        <f ca="1">"[u]Города[/u]: (максимальное население (нас.) города: "&amp;HLOOKUP(A12,Наука!D$1:K$57,57,0)&amp;")."&amp;VLOOKUP(A12,Нации!B$3:BA$10,34,0)&amp;"[br][br][quote]Доход от обработки хексов:"&amp;VLOOKUP(A12,Нации!B$3:AJ$10,35,0)</f>
        <v>[u]Города[/u]: (максимальное население (нас.) города: 6).[br][b]Москва[/b] (нас: 5; +4 Мл, +2 Мн, +5 ОН). Постройки: дворец, мастерская (II), лаборатория (III), казармы (I*), стены (защита +3), Сиднейский театр (Чудо света).[br][b]Рим[/b] (нас: 5; +0 Мл, +0 Мн, +3 ОН). Постройки: лаборатория (III), стены (защита +3).[br][b]Пекин[/b] (нас: 5; +0 Мл, +0 Мн, +0 ОН)[br][b]Петербург[/b]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+3).[br][br][quote]Доход от обработки хексов:[ul][li]холмы: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</v>
      </c>
      <c r="I16" s="227" t="s">
        <v>37</v>
      </c>
    </row>
    <row r="17" spans="1:9" x14ac:dyDescent="0.25">
      <c r="A17" s="81" t="str">
        <f>"основание нового города ("&amp;VLOOKUP(A12,Нации!B$3:J$10,9,0)*A14&amp;" Власт"&amp;IF(A14=1,"ь","и")&amp;", +1 за каждый последующий)"</f>
        <v>основание нового города (10 Власть, +1 за каждый последующий)</v>
      </c>
      <c r="B17" s="137" t="str">
        <f t="shared" si="1"/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</v>
      </c>
      <c r="C17" s="81" t="str">
        <f>"распределение жителей на хексы рядом с городом для получения "&amp;База!$L$2&amp;", "&amp;База!$L$3&amp;", "&amp;База!$L$4&amp;" или для роста населения (1 житель на 1 хекс)"</f>
        <v>распределение жителей на хексы рядом с городом для получения Мл, Мн, ОН или для роста населения (1 житель на 1 хекс)</v>
      </c>
      <c r="D17" s="227" t="str">
        <f t="shared" ref="D17:D21" si="2">D16&amp;IF(C17&lt;&gt;"","[li]"&amp;C17&amp;"[/li]","")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</v>
      </c>
      <c r="E17" s="227" t="s">
        <v>37</v>
      </c>
      <c r="F17" s="223" t="s">
        <v>401</v>
      </c>
      <c r="G17" s="227" t="s">
        <v>37</v>
      </c>
      <c r="H17" s="223" t="s">
        <v>402</v>
      </c>
      <c r="I17" s="227" t="s">
        <v>37</v>
      </c>
    </row>
    <row r="18" spans="1:9" x14ac:dyDescent="0.25">
      <c r="A18" s="81" t="str">
        <f>IF(HLOOKUP(A12,Армии!B$1:AG$65,64,0),"апгрейд войск (устаревших войск нации: "&amp;HLOOKUP(A12,Армии!B$1:AG$65,64,0)&amp;". Стоимость в монетах указана в ростете войск)","")</f>
        <v/>
      </c>
      <c r="B18" s="137" t="str">
        <f t="shared" si="1"/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</v>
      </c>
      <c r="C18" s="81" t="str">
        <f>"заявка на использование городом ресурса (1 город может за ход использовать только 1 ресурс в ход). В наличии: "&amp;VLOOKUP(A12,Нации!B$3:AK$10,36,0)</f>
        <v>заявка на использование городом ресурса (1 город может за ход использовать только 1 ресурс в ход). В наличии: 2x железо, мрамор, 2x кони, 4x кофе, золото</v>
      </c>
      <c r="D18" s="227" t="str">
        <f t="shared" si="2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2x железо, мрамор, 2x кони, 4x кофе, золото[/li]</v>
      </c>
      <c r="E18" s="227" t="s">
        <v>37</v>
      </c>
      <c r="F18" s="223"/>
      <c r="G18" s="227" t="s">
        <v>37</v>
      </c>
      <c r="H18" s="223"/>
      <c r="I18" s="227" t="s">
        <v>37</v>
      </c>
    </row>
    <row r="19" spans="1:9" x14ac:dyDescent="0.25">
      <c r="A19" s="81" t="str">
        <f>IF(HLOOKUP(A12,Армии!B$1:AG$65,65,0),"восстановление войск (уничтоженных войск нации: "&amp;HLOOKUP(A12,Армии!B$1:AG$65,65,0)&amp;". Стоимость в монетах указана в ростере войск)","")</f>
        <v>восстановление войск (уничтоженных войск нации: 3. Стоимость в монетах указана в ростере войск)</v>
      </c>
      <c r="B19" s="137" t="str">
        <f t="shared" si="1"/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последующий)[/li][li]восстановление войск (уничтоженных войск нации: 3. Стоимость в монетах указана в ростере войск)[/li]</v>
      </c>
      <c r="C19" s="81" t="str">
        <f ca="1">"использование собранных молотков для создания новых войск. Доступны: "&amp;HLOOKUP(A12,Наука!D$1:K$89,89,0)</f>
        <v>использование собранных молотков для создания новых войск. Доступны: Аркебузеры (пехотное, 6Мл), Танки (мобильное, 8Мл), Пулеметчики (заградит., 6Мл), РЗО (поддержка, 8Мл), Реактивные самолеты (авиация, 8Мл)</v>
      </c>
      <c r="D19" s="227" t="str">
        <f t="shared" ca="1" si="2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2x железо, мрамор, 2x кони, 4x кофе, золото[/li][li]использование собранных молотков для создания новых войск. Доступны: Аркебузеры (пехотное, 6Мл), Танки (мобильное, 8Мл), Пулеметчики (заградит., 6Мл), РЗО (поддержка, 8Мл), Реактивные самолеты (авиация, 8Мл)[/li]</v>
      </c>
      <c r="E19" s="227" t="s">
        <v>37</v>
      </c>
      <c r="F19" s="223" t="s">
        <v>400</v>
      </c>
      <c r="G19" s="227" t="s">
        <v>37</v>
      </c>
      <c r="H19" s="223" t="str">
        <f ca="1">D21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2x железо, мрамор, 2x кони, 4x кофе, золото[/li][li]использование собранных молотков для создания новых войск. Доступны: Аркебузеры (пехотное, 6Мл), Танки (мобильное, 8Мл), Пулеметчики (заградит., 6Мл), РЗО (поддержка, 8Мл), Реактивные самолеты (авиация, 8Мл)[/li][li]возведение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арсенал (оборона, цена 4Мл), стены (укрепления, цена 4Мл) (каждая постройка после первой требует 1 Власти)[/li]</v>
      </c>
      <c r="I19" s="227" t="s">
        <v>37</v>
      </c>
    </row>
    <row r="20" spans="1:9" x14ac:dyDescent="0.25">
      <c r="A20" s="81" t="str">
        <f>"реорганизация армии (изменение последовательности войск в колоде, возможен роспуск войск) ("&amp;A14&amp;" Власт"&amp;CHOOSE(A14,"ь","и")&amp;");"</f>
        <v>реорганизация армии (изменение последовательности войск в колоде, возможен роспуск войск) (1 Власть);</v>
      </c>
      <c r="B20" s="137" t="str">
        <f t="shared" si="1"/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последующий)[/li][li]восстановление войск (уничтоженных войск нации: 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</v>
      </c>
      <c r="C20" s="81" t="str">
        <f ca="1">"возведение "&amp;IF(HLOOKUP(A12,Наука!D$1:K$76,76,0)&lt;&gt;"","и улучшение (апгрейд) построек и ","")&amp;"заявленных Чудес света."&amp;IF(HLOOKUP(A12,Наука!D$1:K$76,76,0)&lt;&gt;""," Доступны для строительства: "&amp;HLOOKUP(A12,Наука!D$1:K$76,76,0)&amp;" (каждая постройка после "&amp;IF(VLOOKUP(Наука!$O$57,Наука!$B$1:$J$45,VLOOKUP(Реп2!A12,Нации!$B$3:$C$9,2,0)+2),"первой","второй")&amp;" требует 1 Власти)","")</f>
        <v>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арсенал (оборона, цена 4Мл), стены (укрепления, цена 4Мл) (каждая постройка после первой требует 1 Власти)</v>
      </c>
      <c r="D20" s="227" t="str">
        <f t="shared" ca="1" si="2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2x железо, мрамор, 2x кони, 4x кофе, золото[/li][li]использование собранных молотков для создания новых войск. Доступны: Аркебузеры (пехотное, 6Мл), Танки (мобильное, 8Мл), Пулеметчики (заградит., 6Мл), РЗО (поддержка, 8Мл), Реактивные самолеты (авиация, 8Мл)[/li][li]возведение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арсенал (оборона, цена 4Мл), стены (укрепления, цена 4Мл) (каждая постройка после первой требует 1 Власти)[/li]</v>
      </c>
      <c r="E20" s="227" t="s">
        <v>37</v>
      </c>
      <c r="F20" s="223" t="str">
        <f>"[u]Ресурсы нации:[/u] "&amp;VLOOKUP(A12,Нации!B$3:AK$10,36,0)</f>
        <v>[u]Ресурсы нации:[/u] 2x железо, мрамор, 2x кони, 4x кофе, золото</v>
      </c>
      <c r="G20" s="227" t="s">
        <v>37</v>
      </c>
      <c r="H20" s="223" t="s">
        <v>401</v>
      </c>
      <c r="I20" s="227" t="s">
        <v>37</v>
      </c>
    </row>
    <row r="21" spans="1:9" x14ac:dyDescent="0.25">
      <c r="A21" s="81" t="str">
        <f>"нападения на города других наций ("&amp;A14*VLOOKUP(A13,База!B$30:O$38,14,0)&amp;" Власт"&amp;CHOOSE(A14,"ь","и","и")&amp;" за каждую атаку; аннексия в случае захвата потребует Власть по размеру атакованного города"&amp;IF(A14&gt;1," x"&amp;A14,"")&amp;");"</f>
        <v>нападения на города других наций (1 Власть за каждую атаку; аннексия в случае захвата потребует Власть по размеру атакованного города);</v>
      </c>
      <c r="B21" s="137" t="str">
        <f t="shared" si="1"/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последующий)[/li][li]восстановление войск (уничтоженных войск нации: 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</v>
      </c>
      <c r="C21" s="81"/>
      <c r="D21" s="227" t="str">
        <f t="shared" ca="1" si="2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2x железо, мрамор, 2x кони, 4x кофе, золото[/li][li]использование собранных молотков для создания новых войск. Доступны: Аркебузеры (пехотное, 6Мл), Танки (мобильное, 8Мл), Пулеметчики (заградит., 6Мл), РЗО (поддержка, 8Мл), Реактивные самолеты (авиация, 8Мл)[/li][li]возведение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арсенал (оборона, цена 4Мл), стены (укрепления, цена 4Мл) (каждая постройка после первой требует 1 Власти)[/li]</v>
      </c>
      <c r="E21" s="227" t="s">
        <v>37</v>
      </c>
      <c r="F21" s="223"/>
      <c r="G21" s="227" t="s">
        <v>37</v>
      </c>
      <c r="H21" s="223" t="str">
        <f>F19</f>
        <v>[u]Справочно[/u]:</v>
      </c>
      <c r="I21" s="227" t="s">
        <v>37</v>
      </c>
    </row>
    <row r="22" spans="1:9" x14ac:dyDescent="0.25">
      <c r="A22" s="81" t="str">
        <f>"изучение технологий, имеется "&amp;VLOOKUP(A12,Нации!B$3:H$10,7,0)&amp;" очков науки (цена технологии зависит от эпохи: 2/5/10/20/30, 2я и последующие техи требуют +2 Власти)"</f>
        <v>изучение технологий, имеется 12 очков науки (цена технологии зависит от эпохи: 2/5/10/20/30, 2я и последующие техи требуют +2 Власти)</v>
      </c>
      <c r="B22" s="137" t="str">
        <f t="shared" si="1"/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последующий)[/li][li]восстановление войск (уничтоженных войск нации: 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12 очков науки (цена технологии зависит от эпохи: 2/5/10/20/30, 2я и последующие техи требуют +2 Власти)[/li]</v>
      </c>
      <c r="C22" s="81" t="s">
        <v>37</v>
      </c>
      <c r="E22" s="227" t="s">
        <v>37</v>
      </c>
      <c r="F22" s="223" t="str">
        <f ca="1">"[u]Известные технологии:[/u]"&amp;VLOOKUP(A12,Нации!B$3:AH$10,33,0)</f>
        <v xml:space="preserve">[u]Известные технологии:[/u][br]Технологии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[br]Технологии будущего (3): Технология будущего 1; Технология будущего 2; Технология будущего 3; </v>
      </c>
      <c r="G22" s="227" t="s">
        <v>37</v>
      </c>
      <c r="H22" s="223"/>
      <c r="I22" s="227" t="s">
        <v>37</v>
      </c>
    </row>
    <row r="23" spans="1:9" x14ac:dyDescent="0.25">
      <c r="A23" s="81" t="str">
        <f>"изменение формы правления (за "&amp;HLOOKUP(A12,Наука!D$1:K$53,53,0)*A14&amp;" Власт"&amp;IF(HLOOKUP(A12,Наука!D$1:K$53,53,0)*A14=1,"ь","и")&amp;", если не открывается в этот ход). Доступны: "&amp;HLOOKUP(A12,Наука!D$1:K$109,109,0)</f>
        <v>изменение формы правления (за 5 Власти, если не открывается в этот ход). Доступны: деспотизм, республика, античная демократия, монархия, федерация, тоталитаризм</v>
      </c>
      <c r="B23" s="137" t="str">
        <f t="shared" si="1"/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последующий)[/li][li]восстановление войск (уничтоженных войск нации: 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12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монархия, федерация, тоталитаризм[/li]</v>
      </c>
      <c r="C23" s="81" t="s">
        <v>37</v>
      </c>
      <c r="E23" s="227" t="s">
        <v>37</v>
      </c>
      <c r="F23" s="223"/>
      <c r="G23" s="227" t="s">
        <v>37</v>
      </c>
      <c r="H23" s="223" t="str">
        <f ca="1">F22</f>
        <v xml:space="preserve">[u]Известные технологии:[/u][br]Технологии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[br]Технологии будущего (3): Технология будущего 1; Технология будущего 2; Технология будущего 3; </v>
      </c>
      <c r="I23" s="227" t="s">
        <v>37</v>
      </c>
    </row>
    <row r="24" spans="1:9" x14ac:dyDescent="0.25">
      <c r="A24" s="81" t="str">
        <f>"объявление, какой город планирует строить какое Чудо света (не обязательно)"</f>
        <v>объявление, какой город планирует строить какое Чудо света (не обязательно)</v>
      </c>
      <c r="B24" s="137" t="str">
        <f t="shared" si="1"/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последующий)[/li][li]восстановление войск (уничтоженных войск нации: 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12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монархия, федерация, тоталитаризм[/li][li]объявление, какой город планирует строить какое Чудо света (не обязательно)[/li]</v>
      </c>
      <c r="C24" s="81" t="s">
        <v>37</v>
      </c>
      <c r="E24" s="227" t="s">
        <v>37</v>
      </c>
      <c r="F24" s="223" t="str">
        <f ca="1">"[u]Города[/u]:[spoiler]Максимальное население (нас.) города: "&amp;HLOOKUP(A12,Наука!D$1:K$57,57,0)&amp;VLOOKUP(A12,Нации!B$3:BA$10,34,0)&amp;"[br]* Доступные постройки: "&amp;HLOOKUP(A12,Наука!D$1:K$76,76,0)&amp;"[br][quote]Доход от обработки хексов:"&amp;VLOOKUP(A12,Нации!B$3:AJ$10,35,0)&amp;"[/quote][/spoiler]"</f>
        <v>[u]Города[/u]:[spoiler]Максимальное население (нас.) города: 6[br][b]Москва[/b] (нас: 5; +4 Мл, +2 Мн, +5 ОН). Постройки: дворец, мастерская (II), лаборатория (III), казармы (I*), стены (защита +3), Сиднейский театр (Чудо света).[br][b]Рим[/b] (нас: 5; +0 Мл, +0 Мн, +3 ОН). Постройки: лаборатория (III), стены (защита +3).[br][b]Пекин[/b] (нас: 5; +0 Мл, +0 Мн, +0 ОН)[br][b]Петербург[/b]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+3).[br]* Доступные постройки: завод (производство, цена 8Мл), банк (торговля, цена 6Мл), лаборатория (наука, цена 6Мл), арсенал (оборона, цена 4Мл), стены (укрепления, цена 4Мл)[br][quote]Доход от обработки хексов:[ul][li]холмы: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ОН)[/li][/quote][/spoiler]</v>
      </c>
      <c r="G24" s="227" t="s">
        <v>37</v>
      </c>
      <c r="H24" s="223"/>
      <c r="I24" s="227" t="s">
        <v>37</v>
      </c>
    </row>
    <row r="25" spans="1:9" x14ac:dyDescent="0.25">
      <c r="A25" s="81" t="str">
        <f>"дипломатический обмен. "&amp;IF(HLOOKUP(A12,Наука!D$1:K$99,99,0)&lt;&gt;"","Вы можете инициировать обмен и обменивать "&amp;HLOOKUP(A12,Наука!D$1:K$99,99,0)&amp;".","Вы не можете инициировать обмен.")</f>
        <v>дипломатический обмен. Вы можете инициировать обмен и обменивать города, ресурсы, монеты, Власть.</v>
      </c>
      <c r="B25" s="137" t="str">
        <f t="shared" si="1"/>
        <v>[u]Доступные действия[/u] (резолв производится строго в указанном порядке): [ul][li]разведка (1 Власть). Допустимая дистанция движения: 8 (по воде: 14)[/li][li]шпионаж (1 Власть за каждого активного шпиона)[/li][li]основание нового города (10 Власть, +1 за каждый последующий)[/li][li]восстановление войск (уничтоженных войск нации: 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12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монархия, федерация, тоталитаризм[/li][li]объявление,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монеты, Власть.[/li]</v>
      </c>
      <c r="C25" s="81" t="s">
        <v>37</v>
      </c>
      <c r="E25" s="227" t="s">
        <v>37</v>
      </c>
      <c r="F25" s="223" t="str">
        <f ca="1">"[u]Войска[/u]:[spoiler]Максимум войск в армии:"&amp;HLOOKUP(A12,Наука!D$1:K$58,58,0)&amp;VLOOKUP(A12,Нации!B$3:BA$10,32,0)&amp;"[br]Доступные нации типы войск: "&amp;HLOOKUP(A12,Наука!D$1:K$89,89,0)&amp;"[/spoiler]"</f>
        <v>[u]Войска[/u]:[spoiler]Максимум войск в армии:8[br]1. 1е катюши (поддержка 4 ур.)[br]2. 1й авиаполк (авиация 4 ур.)[br]3. 2е катюши (поддержка 4 ур.)[br]4. 2й авиаполк (авиация 4 ур.)[br]5. 3я катюша (поддержка 4 ур.)[br]6.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ур.)[br]Доступные нации типы войск: Аркебузеры (пехотное, 6Мл), Танки (мобильное, 8Мл), Пулеметчики (заградит., 6Мл), РЗО (поддержка, 8Мл), Реактивные самолеты (авиация, 8Мл)[/spoiler]</v>
      </c>
      <c r="G25" s="227" t="s">
        <v>37</v>
      </c>
      <c r="H25" s="223" t="str">
        <f>"[u]Войска[/u]:[spoiler]Максимум войск в армии:"&amp;HLOOKUP(A12,Наука!D$1:K$58,58,0)&amp;VLOOKUP(A12,Нации!B$3:BA$10,32,0)&amp;"[/spoiler]"</f>
        <v>[u]Войска[/u]:[spoiler]Максимум войск в армии:8[br]1. 1е катюши (поддержка 4 ур.)[br]2. 1й авиаполк (авиация 4 ур.)[br]3. 2е катюши (поддержка 4 ур.)[br]4. 2й авиаполк (авиация 4 ур.)[br]5. 3я катюша (поддержка 4 ур.)[br]6.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ур.)[/spoiler]</v>
      </c>
      <c r="I25" s="227" t="s">
        <v>37</v>
      </c>
    </row>
    <row r="26" spans="1:9" s="220" customFormat="1" ht="15.75" hidden="1" thickBot="1" x14ac:dyDescent="0.3">
      <c r="A26" s="220" t="str">
        <f>Нации!B4</f>
        <v>Римская империя</v>
      </c>
      <c r="E26" s="227" t="s">
        <v>37</v>
      </c>
      <c r="F26" s="224" t="s">
        <v>323</v>
      </c>
      <c r="G26" s="227" t="s">
        <v>37</v>
      </c>
      <c r="H26" s="224" t="s">
        <v>323</v>
      </c>
      <c r="I26" s="227" t="s">
        <v>37</v>
      </c>
    </row>
    <row r="27" spans="1:9" s="227" customFormat="1" hidden="1" x14ac:dyDescent="0.25">
      <c r="A27" s="81" t="str">
        <f>VLOOKUP(A26,Нации!B$3:E$10,4,0)</f>
        <v>республика</v>
      </c>
      <c r="C27" s="81"/>
      <c r="E27" s="227" t="s">
        <v>37</v>
      </c>
      <c r="F27" s="222" t="str">
        <f>"[private="""&amp;VLOOKUP(A26,Нации!B$3:D$10,3,0)&amp;"""]Нация: "&amp;A26&amp;" (форма правления: "&amp;A27&amp;")"</f>
        <v>[private="Брут"]Нация: Римская империя (форма правления: республика)</v>
      </c>
      <c r="G27" s="227" t="s">
        <v>37</v>
      </c>
      <c r="H27" s="223" t="str">
        <f>F27</f>
        <v>[private="Брут"]Нация: Римская империя (форма правления: республика)</v>
      </c>
      <c r="I27" s="227" t="s">
        <v>37</v>
      </c>
    </row>
    <row r="28" spans="1:9" s="227" customFormat="1" hidden="1" x14ac:dyDescent="0.25">
      <c r="A28" s="81">
        <f>VLOOKUP(A27,База!B$30:Q$38,16,0)</f>
        <v>1</v>
      </c>
      <c r="C28" s="81"/>
      <c r="E28" s="227" t="s">
        <v>37</v>
      </c>
      <c r="F28" s="223"/>
      <c r="G28" s="227" t="s">
        <v>37</v>
      </c>
      <c r="H28" s="223"/>
      <c r="I28" s="227" t="s">
        <v>37</v>
      </c>
    </row>
    <row r="29" spans="1:9" s="227" customFormat="1" hidden="1" x14ac:dyDescent="0.25">
      <c r="A29" s="81" t="str">
        <f>"разведка ("&amp;1*A28&amp;" Власт"&amp;CHOOSE(A28,"ь","и")&amp;"). Допустимая дистанция движения: "&amp;HLOOKUP(A26,Наука!D$1:K$56,56,0)&amp;" (по воде: "&amp;HLOOKUP(A26,Наука!D$1:K$59,59,0)&amp;")"</f>
        <v>разведка (1 Власть). Допустимая дистанция движения: 5 (по воде: 0)</v>
      </c>
      <c r="B29" s="227" t="str">
        <f>"[u]Доступные действия[/u] (резолв производится строго в указанном порядке): [ul]"&amp;IF(A29&lt;&gt;"","[li]"&amp;A29&amp;"[/li]","")</f>
        <v>[u]Доступные действия[/u] (резолв производится строго в указанном порядке): [ul][li]разведка (1 Власть). Допустимая дистанция движения: 5 (по воде: 0)[/li]</v>
      </c>
      <c r="C29" s="81" t="str">
        <f>"[u]Доступные действия[/u] (резолв производится для каждого активированного города последовательно, строго в указанном порядке): [ul]"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D29" s="227" t="str">
        <f>C29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E29" s="227" t="s">
        <v>37</v>
      </c>
      <c r="F29" s="223" t="str">
        <f>"[br]Власть: "&amp;VLOOKUP(A26,Нации!B$3:G$10,6,0)+VLOOKUP(A26,Нации!B$3:AA$10,26,0)&amp;" (в начале хода получено "&amp;VLOOKUP(A26,Нации!B$3:AA$10,26,0)&amp;" Власти"&amp;IF(VLOOKUP(A26,Нации!B$3:AA$10,26,0)&gt;2,", в т.ч."&amp;IF(VLOOKUP(A26,Нации!B$3:AD$10,27,0)&gt;0," +"&amp;VLOOKUP(A26,Нации!B$3:AD$10,27,0)&amp;" (форма правления)","")&amp;IF(VLOOKUP(A26,Нации!B$3:AD$10,28,0)&gt;0," +"&amp;VLOOKUP(A26,Нации!B$3:AD$10,28,0)&amp;" (Чудеса света)","")&amp;IF(VLOOKUP(A26,Нации!B$3:AD$10,29,0)&gt;0," +"&amp;VLOOKUP(A26,Нации!B$3:AD$10,29,0)&amp;" (технологии)",""),"")&amp;"); Монеты: "&amp;VLOOKUP(A26,Нации!B$3:I$10,8,0)</f>
        <v>[br]Власть: 10 (в начале хода получено 2 Власти); Монеты: 1</v>
      </c>
      <c r="G29" s="227" t="s">
        <v>37</v>
      </c>
      <c r="H29" s="223" t="str">
        <f>"Власть: "&amp;VLOOKUP(A26,Нации!B$3:G$10,6,0)&amp;"; Казна: "&amp;VLOOKUP(A26,Нации!B$3:L$10,8,0)&amp;" монет; Очки науки (справочно): "&amp;VLOOKUP(A26,Нации!B$3:H$10,7,0)</f>
        <v>Власть: 8; Казна: 1 монет; Очки науки (справочно): 3</v>
      </c>
      <c r="I29" s="227" t="s">
        <v>37</v>
      </c>
    </row>
    <row r="30" spans="1:9" s="227" customFormat="1" hidden="1" x14ac:dyDescent="0.25">
      <c r="A30" s="81" t="str">
        <f>IF(HLOOKUP(A26,Наука!D$1:K$61,61,0)&gt;0,"шпионаж (1 Власть за каждого активного шпиона)","")</f>
        <v/>
      </c>
      <c r="B30" s="227" t="str">
        <f t="shared" ref="B30:B39" si="3">B29&amp;IF(A30&lt;&gt;"","[li]"&amp;A30&amp;"[/li]","")</f>
        <v>[u]Доступные действия[/u] (резолв производится строго в указанном порядке): [ul][li]разведка (1 Власть). Допустимая дистанция движения: 5 (по воде: 0)[/li]</v>
      </c>
      <c r="C30" s="81" t="str">
        <f>"активация города ("&amp;VLOOKUP(A27,База!B$30:G$38,6,0)&amp;" Власти каждый) и получение его базовых ресурсов"</f>
        <v>активация города (0 Власти каждый) и получение его базовых ресурсов</v>
      </c>
      <c r="D30" s="227" t="str">
        <f>D29&amp;IF(C30&lt;&gt;"","[li]"&amp;C30&amp;"[/li]","")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</v>
      </c>
      <c r="E30" s="227" t="s">
        <v>37</v>
      </c>
      <c r="F30" s="223" t="e">
        <f>B39</f>
        <v>#VALUE!</v>
      </c>
      <c r="G30" s="227" t="s">
        <v>37</v>
      </c>
      <c r="H30" s="223" t="str">
        <f>"[u]Города[/u]: (максимальное население (нас.) города: "&amp;HLOOKUP(A26,Наука!D$1:K$57,57,0)&amp;")."&amp;VLOOKUP(A26,Нации!B$3:BA$10,34,0)&amp;"[br][br][quote]Доход от обработки хексов:"&amp;VLOOKUP(A26,Нации!B$3:AJ$10,35,0)</f>
        <v>[u]Города[/u]: (максимальное население (нас.) города: 3).[br][br][quote]Доход от обработки хексов:[ul][li]холмы: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Мл) ЛИБО (+1 Мл; +2 Мн) ЛИБО (+1 Мл; +1 ОН) ЛИБО (+1 нас.)[/li][li]пустыни: ЛИБО (+1 Мл) ЛИБО (+2 Мн) ЛИБО (+1 ОН)[/li][li]арктика: ЛИБО (+1 Мл) ЛИБО (+2 Мн) ЛИБО (+1 ОН)[/li][li]моря и океаны - не обрабатываются[/li][li]горы - не обрабатываются[/li]</v>
      </c>
      <c r="I30" s="227" t="s">
        <v>37</v>
      </c>
    </row>
    <row r="31" spans="1:9" s="227" customFormat="1" hidden="1" x14ac:dyDescent="0.25">
      <c r="A31" s="81" t="e">
        <f>"основание нового города ("&amp;VLOOKUP(A26,Нации!B$3:J$10,9,0)*A28&amp;" Власт"&amp;CHOOSE(VLOOKUP(A26,Нации!B$3:J$10,9,0)*A28,"ь","и","и","и","и","и","и","и","и","и","и","и")&amp;", +1 за каждый последующий)"</f>
        <v>#VALUE!</v>
      </c>
      <c r="B31" s="227" t="e">
        <f t="shared" si="3"/>
        <v>#VALUE!</v>
      </c>
      <c r="C31" s="81" t="str">
        <f>"распределение жителей на хексы рядом с городом для получения "&amp;База!$L$2&amp;", "&amp;База!$L$3&amp;", "&amp;База!$L$4&amp;" или для роста населения (1 житель на 1 хекс)"</f>
        <v>распределение жителей на хексы рядом с городом для получения Мл, Мн, ОН или для роста населения (1 житель на 1 хекс)</v>
      </c>
      <c r="D31" s="227" t="str">
        <f t="shared" ref="D31:D35" si="4">D30&amp;IF(C31&lt;&gt;"","[li]"&amp;C31&amp;"[/li]","")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</v>
      </c>
      <c r="E31" s="227" t="s">
        <v>37</v>
      </c>
      <c r="F31" s="223" t="s">
        <v>401</v>
      </c>
      <c r="G31" s="227" t="s">
        <v>37</v>
      </c>
      <c r="H31" s="223" t="s">
        <v>402</v>
      </c>
      <c r="I31" s="227" t="s">
        <v>37</v>
      </c>
    </row>
    <row r="32" spans="1:9" s="227" customFormat="1" hidden="1" x14ac:dyDescent="0.25">
      <c r="A32" s="81" t="str">
        <f>IF(HLOOKUP(A26,Армии!B$1:AG$65,64,0),"апгрейд войск (устаревших войск нации: "&amp;HLOOKUP(A26,Армии!B$1:AG$65,64,0)&amp;". Стоимость в монетах указана в ростете войск)","")</f>
        <v>апгрейд войск (устаревших войск нации: 2. Стоимость в монетах указана в ростете войск)</v>
      </c>
      <c r="B32" s="227" t="e">
        <f t="shared" si="3"/>
        <v>#VALUE!</v>
      </c>
      <c r="C32" s="81" t="str">
        <f>"заявка на использование городом ресурса (1 город может за ход использовать только 1 ресурс в ход). В наличии: "&amp;VLOOKUP(A26,Нации!B$3:AK$10,36,0)</f>
        <v>заявка на использование городом ресурса (1 город может за ход использовать только 1 ресурс в ход). В наличии: мрамор, камень</v>
      </c>
      <c r="D32" s="227" t="str">
        <f t="shared" si="4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камень[/li]</v>
      </c>
      <c r="E32" s="227" t="s">
        <v>37</v>
      </c>
      <c r="F32" s="223"/>
      <c r="G32" s="227" t="s">
        <v>37</v>
      </c>
      <c r="H32" s="223"/>
      <c r="I32" s="227" t="s">
        <v>37</v>
      </c>
    </row>
    <row r="33" spans="1:9" s="227" customFormat="1" hidden="1" x14ac:dyDescent="0.25">
      <c r="A33" s="81" t="str">
        <f>IF(HLOOKUP(A26,Армии!B$1:AG$65,65,0),"восстановление войск (уничтоженных войск нации: "&amp;HLOOKUP(A26,Армии!B$1:AG$65,65,0)&amp;". Стоимость в монетах указана в ростере войск)","")</f>
        <v>восстановление войск (уничтоженных войск нации: 6. Стоимость в монетах указана в ростере войск)</v>
      </c>
      <c r="B33" s="227" t="e">
        <f t="shared" si="3"/>
        <v>#VALUE!</v>
      </c>
      <c r="C33" s="81" t="str">
        <f ca="1">"использование собранных молотков для создания новых войск. Доступны: "&amp;HLOOKUP(A26,Наука!D$1:K$89,89,0)</f>
        <v>использование собранных молотков для создания новых войск. Доступны: Ватага (пехотное, 2Мл), Пикинеры (заградит., 4Мл), Арбалетчики (поддержка, 4Мл)</v>
      </c>
      <c r="D33" s="227" t="str">
        <f t="shared" ca="1" si="4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камень[/li][li]использование собранных молотков для создания новых войск. Доступны: Ватага (пехотное, 2Мл), Пикинеры (заградит., 4Мл), Арбалетчики (поддержка, 4Мл)[/li]</v>
      </c>
      <c r="E33" s="227" t="s">
        <v>37</v>
      </c>
      <c r="F33" s="223" t="s">
        <v>400</v>
      </c>
      <c r="G33" s="227" t="s">
        <v>37</v>
      </c>
      <c r="H33" s="223" t="str">
        <f ca="1">D35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камень[/li][li]использование собранных молотков для создания новых войск. Доступны: Ватага (пехотное, 2Мл), Пикинеры (заградит., 4Мл), Арбалетчики (поддержка, 4Мл)[/li][li]возведение и улучшение (апгрейд) построек и заявленных Чудес света. Доступны для строительства: мастерская (производство, цена 4Мл), библиотека (наука, цена 2Мл), казармы (оборона, цена 2Мл) (каждая постройка после второй требует 1 Власти)[/li]</v>
      </c>
      <c r="I33" s="227" t="s">
        <v>37</v>
      </c>
    </row>
    <row r="34" spans="1:9" s="227" customFormat="1" hidden="1" x14ac:dyDescent="0.25">
      <c r="A34" s="81" t="str">
        <f>"реорганизация армии (изменение последовательности войск в колоде, возможен роспуск войск) ("&amp;A28&amp;" Власт"&amp;CHOOSE(A28,"ь","и")&amp;");"</f>
        <v>реорганизация армии (изменение последовательности войск в колоде, возможен роспуск войск) (1 Власть);</v>
      </c>
      <c r="B34" s="227" t="e">
        <f t="shared" si="3"/>
        <v>#VALUE!</v>
      </c>
      <c r="C34" s="81" t="str">
        <f ca="1">"возведение "&amp;IF(HLOOKUP(A26,Наука!D$1:K$76,76,0)&lt;&gt;"","и улучшение (апгрейд) построек и ","")&amp;"заявленных Чудес света."&amp;IF(HLOOKUP(A26,Наука!D$1:K$76,76,0)&lt;&gt;""," Доступны для строительства: "&amp;HLOOKUP(A26,Наука!D$1:K$76,76,0)&amp;" (каждая постройка после "&amp;IF(VLOOKUP(Наука!$O$57,Наука!$B$1:$J$45,VLOOKUP(Реп2!A26,Нации!$B$3:$C$9,2,0)+2),"первой","второй")&amp;" требует "&amp;A28&amp;" Власти)","")</f>
        <v>возведение и улучшение (апгрейд) построек и заявленных Чудес света. Доступны для строительства: мастерская (производство, цена 4Мл), библиотека (наука, цена 2Мл), казармы (оборона, цена 2Мл) (каждая постройка после второй требует 1 Власти)</v>
      </c>
      <c r="D34" s="227" t="str">
        <f t="shared" ca="1" si="4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камень[/li][li]использование собранных молотков для создания новых войск. Доступны: Ватага (пехотное, 2Мл), Пикинеры (заградит., 4Мл), Арбалетчики (поддержка, 4Мл)[/li][li]возведение и улучшение (апгрейд) построек и заявленных Чудес света. Доступны для строительства: мастерская (производство, цена 4Мл), библиотека (наука, цена 2Мл), казармы (оборона, цена 2Мл) (каждая постройка после второй требует 1 Власти)[/li]</v>
      </c>
      <c r="E34" s="227" t="s">
        <v>37</v>
      </c>
      <c r="F34" s="223" t="str">
        <f>"[u]Ресурсы нации:[/u] "&amp;VLOOKUP(A26,Нации!B$3:AK$10,36,0)</f>
        <v>[u]Ресурсы нации:[/u] мрамор, камень</v>
      </c>
      <c r="G34" s="227" t="s">
        <v>37</v>
      </c>
      <c r="H34" s="223" t="s">
        <v>401</v>
      </c>
      <c r="I34" s="227" t="s">
        <v>37</v>
      </c>
    </row>
    <row r="35" spans="1:9" s="227" customFormat="1" hidden="1" x14ac:dyDescent="0.25">
      <c r="A35" s="81" t="str">
        <f>"нападения на города других наций ("&amp;A28*VLOOKUP(A27,База!B$30:O$38,14,0)&amp;" Власт"&amp;CHOOSE(A28,"ь","и","и")&amp;" за каждую атаку; аннексия в случае захвата потребует Власть по размеру атакованного города"&amp;IF(A28&gt;1," x"&amp;A28,"")&amp;");"</f>
        <v>нападения на города других наций (1 Власть за каждую атаку; аннексия в случае захвата потребует Власть по размеру атакованного города);</v>
      </c>
      <c r="B35" s="227" t="e">
        <f t="shared" si="3"/>
        <v>#VALUE!</v>
      </c>
      <c r="C35" s="81"/>
      <c r="D35" s="227" t="str">
        <f t="shared" ca="1" si="4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камень[/li][li]использование собранных молотков для создания новых войск. Доступны: Ватага (пехотное, 2Мл), Пикинеры (заградит., 4Мл), Арбалетчики (поддержка, 4Мл)[/li][li]возведение и улучшение (апгрейд) построек и заявленных Чудес света. Доступны для строительства: мастерская (производство, цена 4Мл), библиотека (наука, цена 2Мл), казармы (оборона, цена 2Мл) (каждая постройка после второй требует 1 Власти)[/li]</v>
      </c>
      <c r="E35" s="227" t="s">
        <v>37</v>
      </c>
      <c r="F35" s="223"/>
      <c r="G35" s="227" t="s">
        <v>37</v>
      </c>
      <c r="H35" s="223" t="str">
        <f>F33</f>
        <v>[u]Справочно[/u]:</v>
      </c>
      <c r="I35" s="227" t="s">
        <v>37</v>
      </c>
    </row>
    <row r="36" spans="1:9" s="227" customFormat="1" hidden="1" x14ac:dyDescent="0.25">
      <c r="A36" s="81" t="str">
        <f>"изучение технологий, имеется "&amp;VLOOKUP(A26,Нации!B$3:H$10,7,0)&amp;" очков науки (цена технологии зависит от эпохи: 2/5/10/20/30, 2я и последующие техи требуют +2 Власти)"</f>
        <v>изучение технологий, имеется 3 очков науки (цена технологии зависит от эпохи: 2/5/10/20/30, 2я и последующие техи требуют +2 Власти)</v>
      </c>
      <c r="B36" s="227" t="e">
        <f t="shared" si="3"/>
        <v>#VALUE!</v>
      </c>
      <c r="C36" s="81" t="s">
        <v>37</v>
      </c>
      <c r="E36" s="227" t="s">
        <v>37</v>
      </c>
      <c r="F36" s="223" t="str">
        <f ca="1">"[u]Известные технологии:[/u]"&amp;VLOOKUP(A26,Нации!B$3:AH$10,33,0)</f>
        <v xml:space="preserve">[u]Известные технологии:[/u][br]Технологии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G36" s="227" t="s">
        <v>37</v>
      </c>
      <c r="H36" s="223"/>
      <c r="I36" s="227" t="s">
        <v>37</v>
      </c>
    </row>
    <row r="37" spans="1:9" s="227" customFormat="1" hidden="1" x14ac:dyDescent="0.25">
      <c r="A37" s="81" t="str">
        <f>"изменение формы правления (за "&amp;HLOOKUP(A26,Наука!D$1:K$53,53,0)*A28&amp;" Власт"&amp;CHOOSE(HLOOKUP(A26,Наука!D$1:K$53,53,0)*A28,"ь","и","и","и","и","и","и")&amp;", если не открывается в этот ход). Доступны: "&amp;HLOOKUP(A26,Наука!D$1:K$109,109,0)</f>
        <v>изменение формы правления (за 2 Власти, если не открывается в этот ход). Доступны: деспотизм, республика</v>
      </c>
      <c r="B37" s="227" t="e">
        <f t="shared" si="3"/>
        <v>#VALUE!</v>
      </c>
      <c r="C37" s="81" t="s">
        <v>37</v>
      </c>
      <c r="E37" s="227" t="s">
        <v>37</v>
      </c>
      <c r="F37" s="223"/>
      <c r="G37" s="227" t="s">
        <v>37</v>
      </c>
      <c r="H37" s="223" t="str">
        <f ca="1">F36</f>
        <v xml:space="preserve">[u]Известные технологии:[/u][br]Технологии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I37" s="227" t="s">
        <v>37</v>
      </c>
    </row>
    <row r="38" spans="1:9" s="227" customFormat="1" hidden="1" x14ac:dyDescent="0.25">
      <c r="A38" s="81" t="str">
        <f>"объявление, какой город планирует строить какое Чудо света (не обязательно)"</f>
        <v>объявление, какой город планирует строить какое Чудо света (не обязательно)</v>
      </c>
      <c r="B38" s="227" t="e">
        <f t="shared" si="3"/>
        <v>#VALUE!</v>
      </c>
      <c r="C38" s="81" t="s">
        <v>37</v>
      </c>
      <c r="E38" s="227" t="s">
        <v>37</v>
      </c>
      <c r="F38" s="223" t="str">
        <f ca="1">"[u]Города[/u]:[spoiler]Максимальное население (нас.) города: "&amp;HLOOKUP(A26,Наука!D$1:K$57,57,0)&amp;VLOOKUP(A26,Нации!B$3:BA$10,34,0)&amp;"[br]* Доступные постройки: "&amp;HLOOKUP(A26,Наука!D$1:K$76,76,0)&amp;"[br][quote]Доход от обработки хексов:"&amp;VLOOKUP(A26,Нации!B$3:AJ$10,35,0)&amp;"[/quote][/spoiler]"</f>
        <v>[u]Города[/u]:[spoiler]Максимальное население (нас.) города: 3[br]* Доступные постройки: мастерская (производство, цена 4Мл), библиотека (наука, цена 2Мл), казармы (оборона, цена 2Мл)[br][quote]Доход от обработки хексов:[ul][li]холмы: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Мл) ЛИБО (+1 Мл; +2 Мн) ЛИБО (+1 Мл; +1 ОН) ЛИБО (+1 нас.)[/li][li]пустыни: ЛИБО (+1 Мл) ЛИБО (+2 Мн) ЛИБО (+1 ОН)[/li][li]арктика: ЛИБО (+1 Мл) ЛИБО (+2 Мн) ЛИБО (+1 ОН)[/li][li]моря и океаны - не обрабатываются[/li][li]горы - не обрабатываются[/li][/quote][/spoiler]</v>
      </c>
      <c r="G38" s="227" t="s">
        <v>37</v>
      </c>
      <c r="H38" s="223"/>
      <c r="I38" s="227" t="s">
        <v>37</v>
      </c>
    </row>
    <row r="39" spans="1:9" s="227" customFormat="1" hidden="1" x14ac:dyDescent="0.25">
      <c r="A39" s="81" t="str">
        <f>"дипломатический обмен. "&amp;IF(HLOOKUP(A26,Наука!D$1:K$99,99,0)&lt;&gt;"","Вы можете инициировать обмен и обменивать "&amp;HLOOKUP(A26,Наука!D$1:K$99,99,0)&amp;".","Вы не можете инициировать обмен.")</f>
        <v>дипломатический обмен. Вы не можете инициировать обмен.</v>
      </c>
      <c r="B39" s="227" t="e">
        <f t="shared" si="3"/>
        <v>#VALUE!</v>
      </c>
      <c r="C39" s="81" t="s">
        <v>37</v>
      </c>
      <c r="E39" s="227" t="s">
        <v>37</v>
      </c>
      <c r="F39" s="223" t="str">
        <f ca="1">"[u]Войска[/u]:[spoiler]Максимум войск в армии:"&amp;HLOOKUP(A26,Наука!D$1:K$58,58,0)&amp;VLOOKUP(A26,Нации!B$3:BA$10,32,0)&amp;"[br]Доступные нации типы войск: "&amp;HLOOKUP(A26,Наука!D$1:K$89,89,0)&amp;"[/spoiler]"</f>
        <v>[u]Войска[/u]:[spoiler]Максимум войск в армии:4[br][strike]1. ватага (пехотное 1 ур.)[/strike] (цена реорганизации: 2)[br][strike]2. ватага (пехотное 1 ур.)[/strike] (цена реорганизации: 2)[br][strike]3. 1е триарии (заградит. 1 ур.)[/strike] (цена реорганизации: 2) (цена апгрейда: 4)[br][strike]4. 2е триарии (заградит. 1 ур.)[/strike] (цена реорганизации: 2) (цена апгрейда: 4)[br][strike]5. 3и триарии (заградит. 2 ур.)[/strike] (цена реорганизации: 4)[br][strike]6. 4е триарии (заградит. 2 ур.)[/strike] (цена реорганизации: 4)[br]7. 5е триарии (заградит. 2 ур.)[br]8. 6е триарии (заградит. 2 ур.)[br]9. 3я ватага (пехотное 1 ур.)[br]Доступные нации типы войск: Ватага (пехотное, 2Мл), Пикинеры (заградит., 4Мл), Арбалетчики (поддержка, 4Мл)[/spoiler]</v>
      </c>
      <c r="G39" s="235" t="s">
        <v>37</v>
      </c>
      <c r="H39" s="223" t="str">
        <f>"[u]Войска[/u]:[spoiler]Максимум войск в армии:"&amp;HLOOKUP(A26,Наука!D$1:K$58,58,0)&amp;VLOOKUP(A26,Нации!B$3:BA$10,32,0)&amp;"[/spoiler]"</f>
        <v>[u]Войска[/u]:[spoiler]Максимум войск в армии:4[br][strike]1. ватага (пехотное 1 ур.)[/strike] (цена реорганизации: 2)[br][strike]2. ватага (пехотное 1 ур.)[/strike] (цена реорганизации: 2)[br][strike]3. 1е триарии (заградит. 1 ур.)[/strike] (цена реорганизации: 2) (цена апгрейда: 4)[br][strike]4. 2е триарии (заградит. 1 ур.)[/strike] (цена реорганизации: 2) (цена апгрейда: 4)[br][strike]5. 3и триарии (заградит. 2 ур.)[/strike] (цена реорганизации: 4)[br][strike]6. 4е триарии (заградит. 2 ур.)[/strike] (цена реорганизации: 4)[br]7. 5е триарии (заградит. 2 ур.)[br]8. 6е триарии (заградит. 2 ур.)[br]9. 3я ватага (пехотное 1 ур.)[/spoiler]</v>
      </c>
      <c r="I39" s="227" t="s">
        <v>37</v>
      </c>
    </row>
    <row r="40" spans="1:9" s="220" customFormat="1" ht="15.75" hidden="1" thickBot="1" x14ac:dyDescent="0.3">
      <c r="A40" s="220" t="str">
        <f>Нации!B5</f>
        <v>Индия</v>
      </c>
      <c r="E40" s="227" t="s">
        <v>37</v>
      </c>
      <c r="F40" s="224" t="s">
        <v>323</v>
      </c>
      <c r="G40" s="227" t="s">
        <v>37</v>
      </c>
      <c r="H40" s="224" t="s">
        <v>323</v>
      </c>
      <c r="I40" s="227" t="s">
        <v>37</v>
      </c>
    </row>
    <row r="41" spans="1:9" s="227" customFormat="1" hidden="1" x14ac:dyDescent="0.25">
      <c r="A41" s="81" t="str">
        <f>VLOOKUP(A40,Нации!B$3:E$10,4,0)</f>
        <v>федерация</v>
      </c>
      <c r="C41" s="81"/>
      <c r="E41" s="227" t="s">
        <v>37</v>
      </c>
      <c r="F41" s="222" t="str">
        <f>"[private="""&amp;VLOOKUP(A40,Нации!B$3:D$10,3,0)&amp;"""]Нация: "&amp;A40&amp;" (форма правления: "&amp;A41&amp;")"</f>
        <v>[private="अशोक"]Нация: Индия (форма правления: федерация)</v>
      </c>
      <c r="G41" s="227" t="s">
        <v>37</v>
      </c>
      <c r="H41" s="223" t="str">
        <f>F41</f>
        <v>[private="अशोक"]Нация: Индия (форма правления: федерация)</v>
      </c>
      <c r="I41" s="227" t="s">
        <v>37</v>
      </c>
    </row>
    <row r="42" spans="1:9" s="227" customFormat="1" hidden="1" x14ac:dyDescent="0.25">
      <c r="A42" s="81">
        <f>VLOOKUP(A41,База!B$30:Q$38,16,0)</f>
        <v>2</v>
      </c>
      <c r="C42" s="81"/>
      <c r="E42" s="227" t="s">
        <v>37</v>
      </c>
      <c r="F42" s="223"/>
      <c r="G42" s="227" t="s">
        <v>37</v>
      </c>
      <c r="H42" s="223"/>
      <c r="I42" s="227" t="s">
        <v>37</v>
      </c>
    </row>
    <row r="43" spans="1:9" s="227" customFormat="1" hidden="1" x14ac:dyDescent="0.25">
      <c r="A43" s="81" t="str">
        <f>"разведка ("&amp;1*A42&amp;" Власт"&amp;CHOOSE(A42,"ь","и")&amp;"). Допустимая дистанция движения: "&amp;HLOOKUP(A40,Наука!D$1:K$56,56,0)&amp;" (по воде: "&amp;HLOOKUP(A40,Наука!D$1:K$59,59,0)&amp;")"</f>
        <v>разведка (2 Власти). Допустимая дистанция движения: 3 (по воде: 6)</v>
      </c>
      <c r="B43" s="227" t="str">
        <f>"[u]Доступные действия[/u] (резолв производится строго в указанном порядке): [ul]"&amp;IF(A43&lt;&gt;"","[li]"&amp;A43&amp;"[/li]","")</f>
        <v>[u]Доступные действия[/u] (резолв производится строго в указанном порядке): [ul][li]разведка (2 Власти). Допустимая дистанция движения: 3 (по воде: 6)[/li]</v>
      </c>
      <c r="C43" s="81" t="str">
        <f>"[u]Доступные действия[/u] (резолв производится для каждого активированного города последовательно, строго в указанном порядке): [ul]"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D43" s="227" t="str">
        <f>C43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E43" s="227" t="s">
        <v>37</v>
      </c>
      <c r="F43" s="223" t="str">
        <f>"[br]Власть: "&amp;VLOOKUP(A40,Нации!B$3:G$10,6,0)+VLOOKUP(A40,Нации!B$3:AA$10,26,0)&amp;" (в начале хода получено "&amp;VLOOKUP(A40,Нации!B$3:AA$10,26,0)&amp;" Власти"&amp;IF(VLOOKUP(A40,Нации!B$3:AA$10,26,0)&gt;2,", в т.ч."&amp;IF(VLOOKUP(A40,Нации!B$3:AD$10,27,0)&gt;0," +"&amp;VLOOKUP(A40,Нации!B$3:AD$10,27,0)&amp;" (форма правления)","")&amp;IF(VLOOKUP(A40,Нации!B$3:AD$10,28,0)&gt;0," +"&amp;VLOOKUP(A40,Нации!B$3:AD$10,28,0)&amp;" (Чудеса света)","")&amp;IF(VLOOKUP(A40,Нации!B$3:AD$10,29,0)&gt;0," +"&amp;VLOOKUP(A40,Нации!B$3:AD$10,29,0)&amp;" (технологии)",""),"")&amp;"); Монеты: "&amp;VLOOKUP(A40,Нации!B$3:I$10,8,0)</f>
        <v>[br]Власть: 5 (в начале хода получено 5 Власти, в т.ч. +3 (технологии)); Монеты: 1</v>
      </c>
      <c r="G43" s="227" t="s">
        <v>37</v>
      </c>
      <c r="H43" s="223" t="str">
        <f>"Власть: "&amp;VLOOKUP(A40,Нации!B$3:G$10,6,0)&amp;"; Казна: "&amp;VLOOKUP(A40,Нации!B$3:L$10,8,0)&amp;" монет; Очки науки (справочно): "&amp;VLOOKUP(A40,Нации!B$3:H$10,7,0)</f>
        <v>Власть: 0; Казна: 1 монет; Очки науки (справочно): 1</v>
      </c>
      <c r="I43" s="227" t="s">
        <v>37</v>
      </c>
    </row>
    <row r="44" spans="1:9" s="227" customFormat="1" hidden="1" x14ac:dyDescent="0.25">
      <c r="A44" s="81" t="str">
        <f>IF(HLOOKUP(A40,Наука!D$1:K$61,61,0)&gt;0,"шпионаж (1 Власть за каждого активного шпиона)","")</f>
        <v>шпионаж (1 Власть за каждого активного шпиона)</v>
      </c>
      <c r="B44" s="227" t="str">
        <f t="shared" ref="B44:B53" si="5">B43&amp;IF(A44&lt;&gt;"","[li]"&amp;A44&amp;"[/li]","")</f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</v>
      </c>
      <c r="C44" s="81" t="str">
        <f>"активация города ("&amp;VLOOKUP(A41,База!B$30:G$38,6,0)&amp;" Власти каждый) и получение его базовых ресурсов"</f>
        <v>активация города (2 Власти каждый) и получение его базовых ресурсов</v>
      </c>
      <c r="D44" s="227" t="str">
        <f>D43&amp;IF(C44&lt;&gt;"","[li]"&amp;C44&amp;"[/li]","")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(2 Власти каждый) и получение его базовых ресурсов[/li]</v>
      </c>
      <c r="E44" s="227" t="s">
        <v>37</v>
      </c>
      <c r="F44" s="223" t="str">
        <f>B53</f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последующий)[/li][li]восстановление войск (уничтоженных войск нации: 9. Стоимость в монетах указана в ростере войск)[/li][li]реорганизация армии (изменение последовательности войск в колоде, возможен роспуск войск) (2 Власти);[/li][li]нападения на города других наций (2 Власти за каждую атаку; аннексия в случае захвата потребует Власть по размеру атакованного города x2);[/li][li]изучение технологий, имеется 1 очков науки (цена технологии зависит от эпохи: 2/5/10/20/30, 2я и последующие техи требуют +2 Власти)[/li][li]изменение формы правления (за 6 Власти, если не открывается в этот ход). Доступны: деспотизм, республика, античная демократия, федерация[/li][li]объявление,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монеты, Власть.[/li]</v>
      </c>
      <c r="G44" s="227" t="s">
        <v>37</v>
      </c>
      <c r="H44" s="223" t="str">
        <f>"[u]Города[/u]: (максимальное население (нас.) города: "&amp;HLOOKUP(A40,Наука!D$1:K$57,57,0)&amp;")."&amp;VLOOKUP(A40,Нации!B$3:BA$10,34,0)&amp;"[br][br][quote]Доход от обработки хексов:"&amp;VLOOKUP(A40,Нации!B$3:AJ$10,35,0)</f>
        <v>[u]Города[/u]: (максимальное население (нас.) города: 3).[br][br][quote]Доход от обработки хексов:[ul][li]холмы: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ОН)[/li][li]джунгли: ЛИБО (+2 Мл) ЛИБО (+1 Мл; +1 Мн) ЛИБО (+1 Мл; +1 ОН)[/li][li]пустыни: ЛИБО (+1 Мл) ЛИБО (+1 Мн) ЛИБО (+1 ОН)[/li][li]арктика: ЛИБО (+1 Мл) ЛИБО (+1 Мн) ЛИБО (+1 ОН)[/li][li]моря и океаны: ЛИБО (+1 Мл; +1 Мн) ЛИБО (+2 Мн) ЛИБО (+1 Мн; +1 ОН)[/li][li]горы - не обрабатываются[/li]</v>
      </c>
      <c r="I44" s="227" t="s">
        <v>37</v>
      </c>
    </row>
    <row r="45" spans="1:9" s="227" customFormat="1" hidden="1" x14ac:dyDescent="0.25">
      <c r="A45" s="81" t="str">
        <f>"основание нового города ("&amp;VLOOKUP(A40,Нации!B$3:J$10,9,0)*A42&amp;" Власт"&amp;IF(A42=1,"ь","и")&amp;", +1 за каждый последующий)"</f>
        <v>основание нового города (0 Власти, +1 за каждый последующий)</v>
      </c>
      <c r="B45" s="227" t="str">
        <f t="shared" si="5"/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</v>
      </c>
      <c r="C45" s="81" t="str">
        <f>"распределение жителей на хексы рядом с городом для получения "&amp;База!$L$2&amp;", "&amp;База!$L$3&amp;", "&amp;База!$L$4&amp;" или для роста населения (1 житель на 1 хекс)"</f>
        <v>распределение жителей на хексы рядом с городом для получения Мл, Мн, ОН или для роста населения (1 житель на 1 хекс)</v>
      </c>
      <c r="D45" s="227" t="str">
        <f t="shared" ref="D45:D49" si="6">D44&amp;IF(C45&lt;&gt;"","[li]"&amp;C45&amp;"[/li]","")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(2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</v>
      </c>
      <c r="E45" s="227" t="s">
        <v>37</v>
      </c>
      <c r="F45" s="223" t="s">
        <v>401</v>
      </c>
      <c r="G45" s="227" t="s">
        <v>37</v>
      </c>
      <c r="H45" s="223" t="s">
        <v>402</v>
      </c>
      <c r="I45" s="227" t="s">
        <v>37</v>
      </c>
    </row>
    <row r="46" spans="1:9" s="227" customFormat="1" hidden="1" x14ac:dyDescent="0.25">
      <c r="A46" s="81" t="str">
        <f>IF(HLOOKUP(A40,Армии!B$1:AG$65,64,0),"апгрейд войск (устаревших войск нации: "&amp;HLOOKUP(A40,Армии!B$1:AG$65,64,0)&amp;". Стоимость в монетах указана в ростете войск)","")</f>
        <v/>
      </c>
      <c r="B46" s="227" t="str">
        <f t="shared" si="5"/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</v>
      </c>
      <c r="C46" s="81" t="str">
        <f>"заявка на использование городом ресурса (1 город может за ход использовать только 1 ресурс в ход). В наличии: "&amp;VLOOKUP(A40,Нации!B$3:AK$10,36,0)</f>
        <v xml:space="preserve">заявка на использование городом ресурса (1 город может за ход использовать только 1 ресурс в ход). В наличии: </v>
      </c>
      <c r="D46" s="227" t="str">
        <f t="shared" si="6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(2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[/li]</v>
      </c>
      <c r="E46" s="227" t="s">
        <v>37</v>
      </c>
      <c r="F46" s="223"/>
      <c r="G46" s="227" t="s">
        <v>37</v>
      </c>
      <c r="H46" s="223"/>
      <c r="I46" s="227" t="s">
        <v>37</v>
      </c>
    </row>
    <row r="47" spans="1:9" s="227" customFormat="1" hidden="1" x14ac:dyDescent="0.25">
      <c r="A47" s="81" t="str">
        <f>IF(HLOOKUP(A40,Армии!B$1:AG$65,65,0),"восстановление войск (уничтоженных войск нации: "&amp;HLOOKUP(A40,Армии!B$1:AG$65,65,0)&amp;". Стоимость в монетах указана в ростере войск)","")</f>
        <v>восстановление войск (уничтоженных войск нации: 9. Стоимость в монетах указана в ростере войск)</v>
      </c>
      <c r="B47" s="227" t="str">
        <f t="shared" si="5"/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последующий)[/li][li]восстановление войск (уничтоженных войск нации: 9. Стоимость в монетах указана в ростере войск)[/li]</v>
      </c>
      <c r="C47" s="81" t="str">
        <f ca="1">"использование собранных молотков для создания новых войск. Доступны: "&amp;HLOOKUP(A40,Наука!D$1:K$89,89,0)</f>
        <v>использование собранных молотков для создания новых войск. Доступны: Ватага (пехотное, 2Мл), Рыцари (мобильное, 4Мл), Пикинеры (заградит., 4Мл), Бипланы (авиация, 6Мл)</v>
      </c>
      <c r="D47" s="227" t="str">
        <f t="shared" ca="1" si="6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(2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[/li][li]использование собранных молотков для создания новых войск. Доступны: Ватага (пехотное, 2Мл), Рыцари (мобильное, 4Мл), Пикинеры (заградит., 4Мл), Бипланы (авиация, 6Мл)[/li]</v>
      </c>
      <c r="E47" s="227" t="s">
        <v>37</v>
      </c>
      <c r="F47" s="223" t="s">
        <v>400</v>
      </c>
      <c r="G47" s="227" t="s">
        <v>37</v>
      </c>
      <c r="H47" s="223" t="str">
        <f ca="1">D49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(2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[/li][li]использование собранных молотков для создания новых войск. Доступны: Ватага (пехотное, 2Мл), Рыцари (мобильное, 4Мл), Пикинеры (заградит., 4Мл), Бипланы (авиация, 6Мл)[/li][li]возведение и улучшение (апгрейд) построек и заявленных Чудес света. Доступны для строительства: мастерская (производство, цена 4Мл), базар (торговля, цена 4Мл), университет (наука, цена 4Мл), арсенал (оборона, цена 4Мл), стены (укрепления, цена 4Мл) (каждая постройка после второй требует 1 Власти)[/li]</v>
      </c>
      <c r="I47" s="227" t="s">
        <v>37</v>
      </c>
    </row>
    <row r="48" spans="1:9" s="227" customFormat="1" hidden="1" x14ac:dyDescent="0.25">
      <c r="A48" s="81" t="str">
        <f>"реорганизация армии (изменение последовательности войск в колоде, возможен роспуск войск) ("&amp;A42&amp;" Власт"&amp;CHOOSE(A42,"ь","и")&amp;");"</f>
        <v>реорганизация армии (изменение последовательности войск в колоде, возможен роспуск войск) (2 Власти);</v>
      </c>
      <c r="B48" s="227" t="str">
        <f t="shared" si="5"/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последующий)[/li][li]восстановление войск (уничтоженных войск нации: 9. Стоимость в монетах указана в ростере войск)[/li][li]реорганизация армии (изменение последовательности войск в колоде, возможен роспуск войск) (2 Власти);[/li]</v>
      </c>
      <c r="C48" s="81" t="str">
        <f ca="1">"возведение "&amp;IF(HLOOKUP(A40,Наука!D$1:K$76,76,0)&lt;&gt;"","и улучшение (апгрейд) построек и ","")&amp;"заявленных Чудес света."&amp;IF(HLOOKUP(A40,Наука!D$1:K$76,76,0)&lt;&gt;""," Доступны для строительства: "&amp;HLOOKUP(A40,Наука!D$1:K$76,76,0)&amp;" (каждая постройка после "&amp;IF(VLOOKUP(Наука!$O$57,Наука!$B$1:$J$45,VLOOKUP(Реп2!A40,Нации!$B$3:$C$9,2,0)+2),"первой","второй")&amp;" требует 1 Власти)","")</f>
        <v>возведение и улучшение (апгрейд) построек и заявленных Чудес света. Доступны для строительства: мастерская (производство, цена 4Мл), базар (торговля, цена 4Мл), университет (наука, цена 4Мл), арсенал (оборона, цена 4Мл), стены (укрепления, цена 4Мл) (каждая постройка после второй требует 1 Власти)</v>
      </c>
      <c r="D48" s="227" t="str">
        <f t="shared" ca="1" si="6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(2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[/li][li]использование собранных молотков для создания новых войск. Доступны: Ватага (пехотное, 2Мл), Рыцари (мобильное, 4Мл), Пикинеры (заградит., 4Мл), Бипланы (авиация, 6Мл)[/li][li]возведение и улучшение (апгрейд) построек и заявленных Чудес света. Доступны для строительства: мастерская (производство, цена 4Мл), базар (торговля, цена 4Мл), университет (наука, цена 4Мл), арсенал (оборона, цена 4Мл), стены (укрепления, цена 4Мл) (каждая постройка после второй требует 1 Власти)[/li]</v>
      </c>
      <c r="E48" s="227" t="s">
        <v>37</v>
      </c>
      <c r="F48" s="223" t="str">
        <f>"[u]Ресурсы нации:[/u] "&amp;VLOOKUP(A40,Нации!B$3:AK$10,36,0)</f>
        <v xml:space="preserve">[u]Ресурсы нации:[/u] </v>
      </c>
      <c r="G48" s="227" t="s">
        <v>37</v>
      </c>
      <c r="H48" s="223" t="s">
        <v>401</v>
      </c>
      <c r="I48" s="227" t="s">
        <v>37</v>
      </c>
    </row>
    <row r="49" spans="1:9" s="227" customFormat="1" hidden="1" x14ac:dyDescent="0.25">
      <c r="A49" s="81" t="str">
        <f>"нападения на города других наций ("&amp;A42*VLOOKUP(A41,База!B$30:O$38,14,0)&amp;" Власт"&amp;CHOOSE(A42,"ь","и","и")&amp;" за каждую атаку; аннексия в случае захвата потребует Власть по размеру атакованного города"&amp;IF(A42&gt;1," x"&amp;A42,"")&amp;");"</f>
        <v>нападения на города других наций (2 Власти за каждую атаку; аннексия в случае захвата потребует Власть по размеру атакованного города x2);</v>
      </c>
      <c r="B49" s="227" t="str">
        <f t="shared" si="5"/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последующий)[/li][li]восстановление войск (уничтоженных войск нации: 9. Стоимость в монетах указана в ростере войск)[/li][li]реорганизация армии (изменение последовательности войск в колоде, возможен роспуск войск) (2 Власти);[/li][li]нападения на города других наций (2 Власти за каждую атаку; аннексия в случае захвата потребует Власть по размеру атакованного города x2);[/li]</v>
      </c>
      <c r="C49" s="81"/>
      <c r="D49" s="227" t="str">
        <f t="shared" ca="1" si="6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(2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[/li][li]использование собранных молотков для создания новых войск. Доступны: Ватага (пехотное, 2Мл), Рыцари (мобильное, 4Мл), Пикинеры (заградит., 4Мл), Бипланы (авиация, 6Мл)[/li][li]возведение и улучшение (апгрейд) построек и заявленных Чудес света. Доступны для строительства: мастерская (производство, цена 4Мл), базар (торговля, цена 4Мл), университет (наука, цена 4Мл), арсенал (оборона, цена 4Мл), стены (укрепления, цена 4Мл) (каждая постройка после второй требует 1 Власти)[/li]</v>
      </c>
      <c r="E49" s="227" t="s">
        <v>37</v>
      </c>
      <c r="F49" s="223"/>
      <c r="G49" s="227" t="s">
        <v>37</v>
      </c>
      <c r="H49" s="223" t="str">
        <f>F47</f>
        <v>[u]Справочно[/u]:</v>
      </c>
      <c r="I49" s="227" t="s">
        <v>37</v>
      </c>
    </row>
    <row r="50" spans="1:9" s="227" customFormat="1" hidden="1" x14ac:dyDescent="0.25">
      <c r="A50" s="81" t="str">
        <f>"изучение технологий, имеется "&amp;VLOOKUP(A40,Нации!B$3:H$10,7,0)&amp;" очков науки (цена технологии зависит от эпохи: 2/5/10/20/30, 2я и последующие техи требуют +2 Власти)"</f>
        <v>изучение технологий, имеется 1 очков науки (цена технологии зависит от эпохи: 2/5/10/20/30, 2я и последующие техи требуют +2 Власти)</v>
      </c>
      <c r="B50" s="227" t="str">
        <f t="shared" si="5"/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последующий)[/li][li]восстановление войск (уничтоженных войск нации: 9. Стоимость в монетах указана в ростере войск)[/li][li]реорганизация армии (изменение последовательности войск в колоде, возможен роспуск войск) (2 Власти);[/li][li]нападения на города других наций (2 Власти за каждую атаку; аннексия в случае захвата потребует Власть по размеру атакованного города x2);[/li][li]изучение технологий, имеется 1 очков науки (цена технологии зависит от эпохи: 2/5/10/20/30, 2я и последующие техи требуют +2 Власти)[/li]</v>
      </c>
      <c r="C50" s="81" t="s">
        <v>37</v>
      </c>
      <c r="E50" s="227" t="s">
        <v>37</v>
      </c>
      <c r="F50" s="223" t="str">
        <f ca="1">"[u]Известные технологии:[/u]"&amp;VLOOKUP(A40,Нации!B$3:AH$10,33,0)</f>
        <v xml:space="preserve">[u]Известные технологии:[/u][br]Технологии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G50" s="227" t="s">
        <v>37</v>
      </c>
      <c r="H50" s="223"/>
      <c r="I50" s="227" t="s">
        <v>37</v>
      </c>
    </row>
    <row r="51" spans="1:9" s="227" customFormat="1" hidden="1" x14ac:dyDescent="0.25">
      <c r="A51" s="81" t="str">
        <f>"изменение формы правления (за "&amp;HLOOKUP(A40,Наука!D$1:K$53,53,0)*A42&amp;" Власт"&amp;CHOOSE(HLOOKUP(A40,Наука!D$1:K$53,53,0)*A42,"ь","и","и","и","и","и","и")&amp;", если не открывается в этот ход). Доступны: "&amp;HLOOKUP(A40,Наука!D$1:K$109,109,0)</f>
        <v>изменение формы правления (за 6 Власти, если не открывается в этот ход). Доступны: деспотизм, республика, античная демократия, федерация</v>
      </c>
      <c r="B51" s="227" t="str">
        <f t="shared" si="5"/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последующий)[/li][li]восстановление войск (уничтоженных войск нации: 9. Стоимость в монетах указана в ростере войск)[/li][li]реорганизация армии (изменение последовательности войск в колоде, возможен роспуск войск) (2 Власти);[/li][li]нападения на города других наций (2 Власти за каждую атаку; аннексия в случае захвата потребует Власть по размеру атакованного города x2);[/li][li]изучение технологий, имеется 1 очков науки (цена технологии зависит от эпохи: 2/5/10/20/30, 2я и последующие техи требуют +2 Власти)[/li][li]изменение формы правления (за 6 Власти, если не открывается в этот ход). Доступны: деспотизм, республика, античная демократия, федерация[/li]</v>
      </c>
      <c r="C51" s="81" t="s">
        <v>37</v>
      </c>
      <c r="E51" s="227" t="s">
        <v>37</v>
      </c>
      <c r="F51" s="223"/>
      <c r="G51" s="227" t="s">
        <v>37</v>
      </c>
      <c r="H51" s="223" t="str">
        <f ca="1">F50</f>
        <v xml:space="preserve">[u]Известные технологии:[/u][br]Технологии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I51" s="227" t="s">
        <v>37</v>
      </c>
    </row>
    <row r="52" spans="1:9" s="227" customFormat="1" hidden="1" x14ac:dyDescent="0.25">
      <c r="A52" s="81" t="str">
        <f>"объявление, какой город планирует строить какое Чудо света (не обязательно)"</f>
        <v>объявление, какой город планирует строить какое Чудо света (не обязательно)</v>
      </c>
      <c r="B52" s="227" t="str">
        <f t="shared" si="5"/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последующий)[/li][li]восстановление войск (уничтоженных войск нации: 9. Стоимость в монетах указана в ростере войск)[/li][li]реорганизация армии (изменение последовательности войск в колоде, возможен роспуск войск) (2 Власти);[/li][li]нападения на города других наций (2 Власти за каждую атаку; аннексия в случае захвата потребует Власть по размеру атакованного города x2);[/li][li]изучение технологий, имеется 1 очков науки (цена технологии зависит от эпохи: 2/5/10/20/30, 2я и последующие техи требуют +2 Власти)[/li][li]изменение формы правления (за 6 Власти, если не открывается в этот ход). Доступны: деспотизм, республика, античная демократия, федерация[/li][li]объявление, какой город планирует строить какое Чудо света (не обязательно)[/li]</v>
      </c>
      <c r="C52" s="81" t="s">
        <v>37</v>
      </c>
      <c r="E52" s="227" t="s">
        <v>37</v>
      </c>
      <c r="F52" s="223" t="str">
        <f ca="1">"[u]Города[/u]:[spoiler]Максимальное население (нас.) города: "&amp;HLOOKUP(A40,Наука!D$1:K$57,57,0)&amp;VLOOKUP(A40,Нации!B$3:BA$10,34,0)&amp;"[br]* Доступные постройки: "&amp;HLOOKUP(A40,Наука!D$1:K$76,76,0)&amp;"[br][quote]Доход от обработки хексов:"&amp;VLOOKUP(A40,Нации!B$3:AJ$10,35,0)&amp;"[/quote][/spoiler]"</f>
        <v>[u]Города[/u]:[spoiler]Максимальное население (нас.) города: 3[br]* Доступные постройки: мастерская (производство, цена 4Мл), базар (торговля, цена 4Мл), университет (наука, цена 4Мл), арсенал (оборона, цена 4Мл), стены (укрепления, цена 4Мл)[br][quote]Доход от обработки хексов:[ul][li]холмы: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ОН)[/li][li]джунгли: ЛИБО (+2 Мл) ЛИБО (+1 Мл; +1 Мн) ЛИБО (+1 Мл; +1 ОН)[/li][li]пустыни: ЛИБО (+1 Мл) ЛИБО (+1 Мн) ЛИБО (+1 ОН)[/li][li]арктика: ЛИБО (+1 Мл) ЛИБО (+1 Мн) ЛИБО (+1 ОН)[/li][li]моря и океаны: ЛИБО (+1 Мл; +1 Мн) ЛИБО (+2 Мн) ЛИБО (+1 Мн; +1 ОН)[/li][li]горы - не обрабатываются[/li][/quote][/spoiler]</v>
      </c>
      <c r="G52" s="227" t="s">
        <v>37</v>
      </c>
      <c r="H52" s="223"/>
      <c r="I52" s="227" t="s">
        <v>37</v>
      </c>
    </row>
    <row r="53" spans="1:9" s="227" customFormat="1" hidden="1" x14ac:dyDescent="0.25">
      <c r="A53" s="81" t="str">
        <f>"дипломатический обмен. "&amp;IF(HLOOKUP(A40,Наука!D$1:K$99,99,0)&lt;&gt;"","Вы можете инициировать обмен и обменивать "&amp;HLOOKUP(A40,Наука!D$1:K$99,99,0)&amp;".","Вы не можете инициировать обмен.")</f>
        <v>дипломатический обмен. Вы можете инициировать обмен и обменивать города, ресурсы, монеты, Власть.</v>
      </c>
      <c r="B53" s="227" t="str">
        <f t="shared" si="5"/>
        <v>[u]Доступные действия[/u] (резолв производится строго в указанном порядке): [ul][li]разведка (2 Власти). Допустимая дистанция движения: 3 (по воде: 6)[/li][li]шпионаж (1 Власть за каждого активного шпиона)[/li][li]основание нового города (0 Власти, +1 за каждый последующий)[/li][li]восстановление войск (уничтоженных войск нации: 9. Стоимость в монетах указана в ростере войск)[/li][li]реорганизация армии (изменение последовательности войск в колоде, возможен роспуск войск) (2 Власти);[/li][li]нападения на города других наций (2 Власти за каждую атаку; аннексия в случае захвата потребует Власть по размеру атакованного города x2);[/li][li]изучение технологий, имеется 1 очков науки (цена технологии зависит от эпохи: 2/5/10/20/30, 2я и последующие техи требуют +2 Власти)[/li][li]изменение формы правления (за 6 Власти, если не открывается в этот ход). Доступны: деспотизм, республика, античная демократия, федерация[/li][li]объявление,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монеты, Власть.[/li]</v>
      </c>
      <c r="C53" s="81" t="s">
        <v>37</v>
      </c>
      <c r="E53" s="227" t="s">
        <v>37</v>
      </c>
      <c r="F53" s="223" t="str">
        <f ca="1">"[u]Войска[/u]:[spoiler]Максимум войск в армии:"&amp;HLOOKUP(A40,Наука!D$1:K$58,58,0)&amp;VLOOKUP(A40,Нации!B$3:BA$10,32,0)&amp;"[br]Доступные нации типы войск: "&amp;HLOOKUP(A40,Наука!D$1:K$89,89,0)&amp;"[/spoiler]"</f>
        <v>[u]Войска[/u]:[spoiler]Максимум войск в армии:4[br][strike]1. 1е пикинеры (заградит. 2 ур.)[/strike] (цена реорганизации: 4)[br][strike]2. 1е рыцари (мобильное 2 ур.)[/strike] (цена реорганизации: 4)[br][strike]3. 2е пикирены (заградит. 2 ур.)[/strike] (цена реорганизации: 4)[br][strike]4. 2е рыцари (мобильное 2 ур.)[/strike] (цена реорганизации: 4)[br][strike]5. 3и рыцари (мобильное 2 ур.)[/strike] (цена реорганизации: 4)[br][strike]6.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6)[br]Доступные нации типы войск: Ватага (пехотное, 2Мл), Рыцари (мобильное, 4Мл), Пикинеры (заградит., 4Мл), Бипланы (авиация, 6Мл)[/spoiler]</v>
      </c>
      <c r="G53" s="235" t="s">
        <v>37</v>
      </c>
      <c r="H53" s="223" t="str">
        <f>"[u]Войска[/u]:[spoiler]Максимум войск в армии:"&amp;HLOOKUP(A40,Наука!D$1:K$58,58,0)&amp;VLOOKUP(A40,Нации!B$3:BA$10,32,0)&amp;"[/spoiler]"</f>
        <v>[u]Войска[/u]:[spoiler]Максимум войск в армии:4[br][strike]1. 1е пикинеры (заградит. 2 ур.)[/strike] (цена реорганизации: 4)[br][strike]2. 1е рыцари (мобильное 2 ур.)[/strike] (цена реорганизации: 4)[br][strike]3. 2е пикирены (заградит. 2 ур.)[/strike] (цена реорганизации: 4)[br][strike]4. 2е рыцари (мобильное 2 ур.)[/strike] (цена реорганизации: 4)[br][strike]5. 3и рыцари (мобильное 2 ур.)[/strike] (цена реорганизации: 4)[br][strike]6.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6)[/spoiler]</v>
      </c>
      <c r="I53" s="227" t="s">
        <v>37</v>
      </c>
    </row>
    <row r="54" spans="1:9" s="220" customFormat="1" ht="15.75" thickBot="1" x14ac:dyDescent="0.3">
      <c r="A54" s="220" t="str">
        <f>Нации!B6</f>
        <v>Великие монголы</v>
      </c>
      <c r="E54" s="227" t="s">
        <v>37</v>
      </c>
      <c r="F54" s="224" t="s">
        <v>323</v>
      </c>
      <c r="G54" s="227" t="s">
        <v>37</v>
      </c>
      <c r="H54" s="224" t="s">
        <v>323</v>
      </c>
      <c r="I54" s="227" t="s">
        <v>37</v>
      </c>
    </row>
    <row r="55" spans="1:9" s="227" customFormat="1" x14ac:dyDescent="0.25">
      <c r="A55" s="81" t="str">
        <f>VLOOKUP(A54,Нации!B$3:E$10,4,0)</f>
        <v>тоталитаризм</v>
      </c>
      <c r="C55" s="81"/>
      <c r="E55" s="227" t="s">
        <v>37</v>
      </c>
      <c r="F55" s="222" t="str">
        <f>"[private="""&amp;VLOOKUP(A54,Нации!B$3:D$10,3,0)&amp;"""]Нация: "&amp;A54&amp;" (форма правления: "&amp;A55&amp;")"</f>
        <v>[private="Борте"]Нация: Великие монголы (форма правления: тоталитаризм)</v>
      </c>
      <c r="G55" s="227" t="s">
        <v>37</v>
      </c>
      <c r="H55" s="223" t="str">
        <f>F55</f>
        <v>[private="Борте"]Нация: Великие монголы (форма правления: тоталитаризм)</v>
      </c>
      <c r="I55" s="227" t="s">
        <v>37</v>
      </c>
    </row>
    <row r="56" spans="1:9" s="227" customFormat="1" x14ac:dyDescent="0.25">
      <c r="A56" s="81">
        <f>VLOOKUP(A55,База!B$30:Q$38,16,0)</f>
        <v>1</v>
      </c>
      <c r="C56" s="81"/>
      <c r="E56" s="227" t="s">
        <v>37</v>
      </c>
      <c r="F56" s="223"/>
      <c r="G56" s="227" t="s">
        <v>37</v>
      </c>
      <c r="H56" s="223"/>
      <c r="I56" s="227" t="s">
        <v>37</v>
      </c>
    </row>
    <row r="57" spans="1:9" s="227" customFormat="1" x14ac:dyDescent="0.25">
      <c r="A57" s="81" t="str">
        <f>"разведка ("&amp;1*A56&amp;" Власт"&amp;CHOOSE(A56,"ь","и")&amp;"). Допустимая дистанция движения: "&amp;HLOOKUP(A54,Наука!D$1:K$56,56,0)&amp;" (по воде: "&amp;HLOOKUP(A54,Наука!D$1:K$59,59,0)&amp;")"</f>
        <v>разведка (1 Власть). Допустимая дистанция движения: 6 (по воде: 14)</v>
      </c>
      <c r="B57" s="227" t="str">
        <f>"[u]Доступные действия[/u] (резолв производится строго в указанном порядке): [ul]"&amp;IF(A57&lt;&gt;"","[li]"&amp;A57&amp;"[/li]","")</f>
        <v>[u]Доступные действия[/u] (резолв производится строго в указанном порядке): [ul][li]разведка (1 Власть). Допустимая дистанция движения: 6 (по воде: 14)[/li]</v>
      </c>
      <c r="C57" s="81" t="str">
        <f>"[u]Доступные действия[/u] (резолв производится для каждого активированного города последовательно, строго в указанном порядке): [ul]"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D57" s="227" t="str">
        <f>C57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E57" s="227" t="s">
        <v>37</v>
      </c>
      <c r="F57" s="223" t="str">
        <f>"[br]Власть: "&amp;VLOOKUP(A54,Нации!B$3:G$10,6,0)+VLOOKUP(A54,Нации!B$3:AA$10,26,0)&amp;" (в начале хода получено "&amp;VLOOKUP(A54,Нации!B$3:AA$10,26,0)&amp;" Власти"&amp;IF(VLOOKUP(A54,Нации!B$3:AA$10,26,0)&gt;2,", в т.ч."&amp;IF(VLOOKUP(A54,Нации!B$3:AD$10,27,0)&gt;0," +"&amp;VLOOKUP(A54,Нации!B$3:AD$10,27,0)&amp;" (форма правления)","")&amp;IF(VLOOKUP(A54,Нации!B$3:AD$10,28,0)&gt;0," +"&amp;VLOOKUP(A54,Нации!B$3:AD$10,28,0)&amp;" (Чудеса света)","")&amp;IF(VLOOKUP(A54,Нации!B$3:AD$10,29,0)&gt;0," +"&amp;VLOOKUP(A54,Нации!B$3:AD$10,29,0)&amp;" (технологии)",""),"")&amp;"); Монеты: "&amp;VLOOKUP(A54,Нации!B$3:I$10,8,0)</f>
        <v>[br]Власть: 17 (в начале хода получено 8 Власти, в т.ч. +2 (форма правления) +4 (технологии)); Монеты: 2</v>
      </c>
      <c r="G57" s="227" t="s">
        <v>37</v>
      </c>
      <c r="H57" s="223" t="str">
        <f>"Власть: "&amp;VLOOKUP(A54,Нации!B$3:G$10,6,0)&amp;"; Казна: "&amp;VLOOKUP(A54,Нации!B$3:L$10,8,0)&amp;" монет; Очки науки (справочно): "&amp;VLOOKUP(A54,Нации!B$3:H$10,7,0)</f>
        <v>Власть: 9; Казна: 2 монет; Очки науки (справочно): 2</v>
      </c>
      <c r="I57" s="227" t="s">
        <v>37</v>
      </c>
    </row>
    <row r="58" spans="1:9" s="227" customFormat="1" x14ac:dyDescent="0.25">
      <c r="A58" s="81" t="str">
        <f>IF(HLOOKUP(A54,Наука!D$1:K$61,61,0)&gt;0,"шпионаж (1 Власть за каждого активного шпиона)","")</f>
        <v>шпионаж (1 Власть за каждого активного шпиона)</v>
      </c>
      <c r="B58" s="227" t="str">
        <f t="shared" ref="B58:B67" si="7">B57&amp;IF(A58&lt;&gt;"","[li]"&amp;A58&amp;"[/li]","")</f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</v>
      </c>
      <c r="C58" s="81" t="str">
        <f>"активация города ("&amp;VLOOKUP(A55,База!B$30:G$38,6,0)&amp;" Власти каждый) и получение его базовых ресурсов"</f>
        <v>активация города (0 Власти каждый) и получение его базовых ресурсов</v>
      </c>
      <c r="D58" s="227" t="str">
        <f>D57&amp;IF(C58&lt;&gt;"","[li]"&amp;C58&amp;"[/li]","")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</v>
      </c>
      <c r="E58" s="227" t="s">
        <v>37</v>
      </c>
      <c r="F58" s="223" t="str">
        <f>B67</f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последующий)[/li][li]восстановление войск (уничтоженных войск нации: 27.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тоталитаризм[/li][li]объявление,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монеты.[/li]</v>
      </c>
      <c r="G58" s="227" t="s">
        <v>37</v>
      </c>
      <c r="H58" s="223" t="str">
        <f ca="1">"[u]Города[/u]: (максимальное население (нас.) города: "&amp;HLOOKUP(A54,Наука!D$1:K$57,57,0)&amp;")."&amp;VLOOKUP(A54,Нации!B$3:BA$10,34,0)&amp;"[br][br][quote]Доход от обработки хексов:"&amp;VLOOKUP(A54,Нации!B$3:AJ$10,35,0)</f>
        <v>[u]Города[/u]: (максимальное население (нас.) города: 6).[br][b]Астрахань[/b] (нас: 5; +0 Мл, +0 Мн, +3 ОН). Постройки: лаборатория (III).[br][b]Мумбаи[/b] (нас: 1; +0 Мл, +0 Мн, +0 ОН)[br][br][quote]Доход от обработки хексов:[ul][li]холмы: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</v>
      </c>
      <c r="I58" s="227" t="s">
        <v>37</v>
      </c>
    </row>
    <row r="59" spans="1:9" s="227" customFormat="1" x14ac:dyDescent="0.25">
      <c r="A59" s="81" t="str">
        <f>"основание нового города ("&amp;VLOOKUP(A54,Нации!B$3:J$10,9,0)*A56&amp;" Власт"&amp;IF(A56=1,"ь","и")&amp;", +1 за каждый последующий)"</f>
        <v>основание нового города (2 Власть, +1 за каждый последующий)</v>
      </c>
      <c r="B59" s="227" t="str">
        <f t="shared" si="7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</v>
      </c>
      <c r="C59" s="81" t="str">
        <f>"распределение жителей на хексы рядом с городом для получения "&amp;База!$L$2&amp;", "&amp;База!$L$3&amp;", "&amp;База!$L$4&amp;" или для роста населения (1 житель на 1 хекс)"</f>
        <v>распределение жителей на хексы рядом с городом для получения Мл, Мн, ОН или для роста населения (1 житель на 1 хекс)</v>
      </c>
      <c r="D59" s="227" t="str">
        <f t="shared" ref="D59:D63" si="8">D58&amp;IF(C59&lt;&gt;"","[li]"&amp;C59&amp;"[/li]","")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</v>
      </c>
      <c r="E59" s="227" t="s">
        <v>37</v>
      </c>
      <c r="F59" s="223" t="s">
        <v>401</v>
      </c>
      <c r="G59" s="227" t="s">
        <v>37</v>
      </c>
      <c r="H59" s="223" t="s">
        <v>402</v>
      </c>
      <c r="I59" s="227" t="s">
        <v>37</v>
      </c>
    </row>
    <row r="60" spans="1:9" s="227" customFormat="1" x14ac:dyDescent="0.25">
      <c r="A60" s="81" t="str">
        <f>IF(HLOOKUP(A54,Армии!B$1:AG$65,64,0),"апгрейд войск (устаревших войск нации: "&amp;HLOOKUP(A54,Армии!B$1:AG$65,64,0)&amp;". Стоимость в монетах указана в ростете войск)","")</f>
        <v/>
      </c>
      <c r="B60" s="227" t="str">
        <f t="shared" si="7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</v>
      </c>
      <c r="C60" s="81" t="str">
        <f>"заявка на использование городом ресурса (1 город может за ход использовать только 1 ресурс в ход). В наличии: "&amp;VLOOKUP(A54,Нации!B$3:AK$10,36,0)</f>
        <v>заявка на использование городом ресурса (1 город может за ход использовать только 1 ресурс в ход). В наличии: камень, кони, 2x кофе, золото</v>
      </c>
      <c r="D60" s="227" t="str">
        <f t="shared" si="8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камень, кони, 2x кофе, золото[/li]</v>
      </c>
      <c r="E60" s="227" t="s">
        <v>37</v>
      </c>
      <c r="F60" s="223"/>
      <c r="G60" s="227" t="s">
        <v>37</v>
      </c>
      <c r="H60" s="223"/>
      <c r="I60" s="227" t="s">
        <v>37</v>
      </c>
    </row>
    <row r="61" spans="1:9" s="227" customFormat="1" x14ac:dyDescent="0.25">
      <c r="A61" s="81" t="str">
        <f>IF(HLOOKUP(A54,Армии!B$1:AG$65,65,0),"восстановление войск (уничтоженных войск нации: "&amp;HLOOKUP(A54,Армии!B$1:AG$65,65,0)&amp;". Стоимость в монетах указана в ростере войск)","")</f>
        <v>восстановление войск (уничтоженных войск нации: 27. Стоимость в монетах указана в ростере войск)</v>
      </c>
      <c r="B61" s="227" t="str">
        <f t="shared" si="7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последующий)[/li][li]восстановление войск (уничтоженных войск нации: 27. Стоимость в монетах указана в ростере войск)[/li]</v>
      </c>
      <c r="C61" s="81" t="str">
        <f ca="1">"использование собранных молотков для создания новых войск. Доступны: "&amp;HLOOKUP(A54,Наука!D$1:K$89,89,0)</f>
        <v>использование собранных молотков для создания новых войск. Доступны: Аркебузеры (пехотное, 6Мл), Всадники (мобильное, 2Мл), Пикинеры (заградит., 4Мл), РЗО (поддержка, 8Мл), Бипланы (авиация, 6Мл)</v>
      </c>
      <c r="D61" s="227" t="str">
        <f t="shared" ca="1" si="8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камень, кони, 2x кофе, золото[/li][li]использование собранных молотков для создания новых войск. Доступны: Аркебузеры (пехотное, 6Мл), Всадники (мобильное, 2Мл), Пикинеры (заградит., 4Мл), РЗО (поддержка, 8Мл), Бипланы (авиация, 6Мл)[/li]</v>
      </c>
      <c r="E61" s="227" t="s">
        <v>37</v>
      </c>
      <c r="F61" s="223" t="s">
        <v>400</v>
      </c>
      <c r="G61" s="227" t="s">
        <v>37</v>
      </c>
      <c r="H61" s="223" t="str">
        <f ca="1">D63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камень, кони, 2x кофе, золото[/li][li]использование собранных молотков для создания новых войск. Доступны: Аркебузеры (пехотное, 6Мл), Всадники (мобильное, 2Мл), Пикинеры (заградит., 4Мл), РЗО (поддержка, 8Мл), Бипланы (авиация, 6Мл)[/li][li]возведение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казармы (оборона, цена 2Мл), стены (укрепления, цена 4Мл) (каждая постройка после первой требует 1 Власти)[/li]</v>
      </c>
      <c r="I61" s="227" t="s">
        <v>37</v>
      </c>
    </row>
    <row r="62" spans="1:9" s="227" customFormat="1" x14ac:dyDescent="0.25">
      <c r="A62" s="81" t="str">
        <f>"реорганизация армии (изменение последовательности войск в колоде, возможен роспуск войск) ("&amp;A56&amp;" Власт"&amp;CHOOSE(A56,"ь","и")&amp;");"</f>
        <v>реорганизация армии (изменение последовательности войск в колоде, возможен роспуск войск) (1 Власть);</v>
      </c>
      <c r="B62" s="227" t="str">
        <f t="shared" si="7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последующий)[/li][li]восстановление войск (уничтоженных войск нации: 27.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</v>
      </c>
      <c r="C62" s="81" t="str">
        <f ca="1">"возведение "&amp;IF(HLOOKUP(A54,Наука!D$1:K$76,76,0)&lt;&gt;"","и улучшение (апгрейд) построек и ","")&amp;"заявленных Чудес света."&amp;IF(HLOOKUP(A54,Наука!D$1:K$76,76,0)&lt;&gt;""," Доступны для строительства: "&amp;HLOOKUP(A54,Наука!D$1:K$76,76,0)&amp;" (каждая постройка после "&amp;IF(VLOOKUP(Наука!$O$57,Наука!$B$1:$J$45,VLOOKUP(Реп2!A54,Нации!$B$3:$C$9,2,0)+2),"первой","второй")&amp;" требует 1 Власти)","")</f>
        <v>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казармы (оборона, цена 2Мл), стены (укрепления, цена 4Мл) (каждая постройка после первой требует 1 Власти)</v>
      </c>
      <c r="D62" s="227" t="str">
        <f t="shared" ca="1" si="8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камень, кони, 2x кофе, золото[/li][li]использование собранных молотков для создания новых войск. Доступны: Аркебузеры (пехотное, 6Мл), Всадники (мобильное, 2Мл), Пикинеры (заградит., 4Мл), РЗО (поддержка, 8Мл), Бипланы (авиация, 6Мл)[/li][li]возведение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казармы (оборона, цена 2Мл), стены (укрепления, цена 4Мл) (каждая постройка после первой требует 1 Власти)[/li]</v>
      </c>
      <c r="E62" s="227" t="s">
        <v>37</v>
      </c>
      <c r="F62" s="223" t="str">
        <f>"[u]Ресурсы нации:[/u] "&amp;VLOOKUP(A54,Нации!B$3:AK$10,36,0)</f>
        <v>[u]Ресурсы нации:[/u] камень, кони, 2x кофе, золото</v>
      </c>
      <c r="G62" s="227" t="s">
        <v>37</v>
      </c>
      <c r="H62" s="223" t="s">
        <v>401</v>
      </c>
      <c r="I62" s="227" t="s">
        <v>37</v>
      </c>
    </row>
    <row r="63" spans="1:9" s="227" customFormat="1" x14ac:dyDescent="0.25">
      <c r="A63" s="81" t="str">
        <f>"нападения на города других наций ("&amp;A56*VLOOKUP(A55,База!B$30:O$38,14,0)&amp;" Власт"&amp;CHOOSE(A56,"ь","и","и")&amp;" за каждую атаку; аннексия в случае захвата потребует Власть по размеру атакованного города"&amp;IF(A56&gt;1," x"&amp;A56,"")&amp;");"</f>
        <v>нападения на города других наций (1 Власть за каждую атаку; аннексия в случае захвата потребует Власть по размеру атакованного города);</v>
      </c>
      <c r="B63" s="227" t="str">
        <f t="shared" si="7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последующий)[/li][li]восстановление войск (уничтоженных войск нации: 27.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</v>
      </c>
      <c r="C63" s="81"/>
      <c r="D63" s="227" t="str">
        <f t="shared" ca="1" si="8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камень, кони, 2x кофе, золото[/li][li]использование собранных молотков для создания новых войск. Доступны: Аркебузеры (пехотное, 6Мл), Всадники (мобильное, 2Мл), Пикинеры (заградит., 4Мл), РЗО (поддержка, 8Мл), Бипланы (авиация, 6Мл)[/li][li]возведение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казармы (оборона, цена 2Мл), стены (укрепления, цена 4Мл) (каждая постройка после первой требует 1 Власти)[/li]</v>
      </c>
      <c r="E63" s="227" t="s">
        <v>37</v>
      </c>
      <c r="F63" s="223"/>
      <c r="G63" s="227" t="s">
        <v>37</v>
      </c>
      <c r="H63" s="223" t="str">
        <f>F61</f>
        <v>[u]Справочно[/u]:</v>
      </c>
      <c r="I63" s="227" t="s">
        <v>37</v>
      </c>
    </row>
    <row r="64" spans="1:9" s="227" customFormat="1" x14ac:dyDescent="0.25">
      <c r="A64" s="81" t="str">
        <f>"изучение технологий, имеется "&amp;VLOOKUP(A54,Нации!B$3:H$10,7,0)&amp;" очков науки (цена технологии зависит от эпохи: 2/5/10/20/30, 2я и последующие техи требуют +2 Власти)"</f>
        <v>изучение технологий, имеется 2 очков науки (цена технологии зависит от эпохи: 2/5/10/20/30, 2я и последующие техи требуют +2 Власти)</v>
      </c>
      <c r="B64" s="227" t="str">
        <f t="shared" si="7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последующий)[/li][li]восстановление войск (уничтоженных войск нации: 27.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</v>
      </c>
      <c r="C64" s="81" t="s">
        <v>37</v>
      </c>
      <c r="E64" s="227" t="s">
        <v>37</v>
      </c>
      <c r="F64" s="223" t="str">
        <f ca="1">"[u]Известные технологии:[/u]"&amp;VLOOKUP(A54,Нации!B$3:AH$10,33,0)</f>
        <v xml:space="preserve">[u]Известные технологии:[/u][br]Технологии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[br]Технологии будущего (2): Технология будущего 1; Технология будущего 2; </v>
      </c>
      <c r="G64" s="227" t="s">
        <v>37</v>
      </c>
      <c r="H64" s="223"/>
      <c r="I64" s="227" t="s">
        <v>37</v>
      </c>
    </row>
    <row r="65" spans="1:9" s="227" customFormat="1" x14ac:dyDescent="0.25">
      <c r="A65" s="81" t="str">
        <f>"изменение формы правления (за "&amp;HLOOKUP(A54,Наука!D$1:K$53,53,0)*A56&amp;" Власт"&amp;IF(HLOOKUP(A54,Наука!D$1:K$53,53,0)*A56=1,"ь","и")&amp;", если не открывается в этот ход). Доступны: "&amp;HLOOKUP(A54,Наука!D$1:K$109,109,0)</f>
        <v>изменение формы правления (за 5 Власти, если не открывается в этот ход). Доступны: деспотизм, республика, античная демократия, тоталитаризм</v>
      </c>
      <c r="B65" s="227" t="str">
        <f t="shared" si="7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последующий)[/li][li]восстановление войск (уничтоженных войск нации: 27.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тоталитаризм[/li]</v>
      </c>
      <c r="C65" s="81" t="s">
        <v>37</v>
      </c>
      <c r="E65" s="227" t="s">
        <v>37</v>
      </c>
      <c r="F65" s="223"/>
      <c r="G65" s="227" t="s">
        <v>37</v>
      </c>
      <c r="H65" s="223" t="str">
        <f ca="1">F64</f>
        <v xml:space="preserve">[u]Известные технологии:[/u][br]Технологии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[br]Технологии будущего (2): Технология будущего 1; Технология будущего 2; </v>
      </c>
      <c r="I65" s="227" t="s">
        <v>37</v>
      </c>
    </row>
    <row r="66" spans="1:9" s="227" customFormat="1" x14ac:dyDescent="0.25">
      <c r="A66" s="81" t="str">
        <f>"объявление, какой город планирует строить какое Чудо света (не обязательно)"</f>
        <v>объявление, какой город планирует строить какое Чудо света (не обязательно)</v>
      </c>
      <c r="B66" s="227" t="str">
        <f t="shared" si="7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последующий)[/li][li]восстановление войск (уничтоженных войск нации: 27.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тоталитаризм[/li][li]объявление, какой город планирует строить какое Чудо света (не обязательно)[/li]</v>
      </c>
      <c r="C66" s="81" t="s">
        <v>37</v>
      </c>
      <c r="E66" s="227" t="s">
        <v>37</v>
      </c>
      <c r="F66" s="223" t="str">
        <f ca="1">"[u]Города[/u]:[spoiler]Максимальное население (нас.) города: "&amp;HLOOKUP(A54,Наука!D$1:K$57,57,0)&amp;VLOOKUP(A54,Нации!B$3:BA$10,34,0)&amp;"[br]* Доступные постройки: "&amp;HLOOKUP(A54,Наука!D$1:K$76,76,0)&amp;"[br][quote]Доход от обработки хексов:"&amp;VLOOKUP(A54,Нации!B$3:AJ$10,35,0)&amp;"[/quote][/spoiler]"</f>
        <v>[u]Города[/u]:[spoiler]Максимальное население (нас.) города: 6[br][b]Астрахань[/b] (нас: 5; +0 Мл, +0 Мн, +3 ОН). Постройки: лаборатория (III).[br][b]Мумбаи[/b] (нас: 1; +0 Мл, +0 Мн, +0 ОН)[br]* Доступные постройки: завод (производство, цена 8Мл), банк (торговля, цена 6Мл), лаборатория (наука, цена 6Мл), казармы (оборона, цена 2Мл), стены (укрепления, цена 4Мл)[br][quote]Доход от обработки хексов:[ul][li]холмы: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ОН)[/li][/quote][/spoiler]</v>
      </c>
      <c r="G66" s="227" t="s">
        <v>37</v>
      </c>
      <c r="H66" s="223"/>
      <c r="I66" s="227" t="s">
        <v>37</v>
      </c>
    </row>
    <row r="67" spans="1:9" s="227" customFormat="1" x14ac:dyDescent="0.25">
      <c r="A67" s="81" t="str">
        <f>"дипломатический обмен. "&amp;IF(HLOOKUP(A54,Наука!D$1:K$99,99,0)&lt;&gt;"","Вы можете инициировать обмен и обменивать "&amp;HLOOKUP(A54,Наука!D$1:K$99,99,0)&amp;".","Вы не можете инициировать обмен.")</f>
        <v>дипломатический обмен. Вы можете инициировать обмен и обменивать города, ресурсы, монеты.</v>
      </c>
      <c r="B67" s="227" t="str">
        <f t="shared" si="7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(2 Власть, +1 за каждый последующий)[/li][li]восстановление войск (уничтоженных войск нации: 27.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тоталитаризм[/li][li]объявление,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монеты.[/li]</v>
      </c>
      <c r="C67" s="81" t="s">
        <v>37</v>
      </c>
      <c r="E67" s="227" t="s">
        <v>37</v>
      </c>
      <c r="F67" s="223" t="str">
        <f ca="1">"[u]Войска[/u]:[spoiler]Максимум войск в армии:"&amp;HLOOKUP(A54,Наука!D$1:K$58,58,0)&amp;VLOOKUP(A54,Нации!B$3:BA$10,32,0)&amp;"[br]Доступные нации типы войск: "&amp;HLOOKUP(A54,Наука!D$1:K$89,89,0)&amp;"[/spoiler]"</f>
        <v>[u]Войска[/u]:[spoiler]Максимум войск в армии:6[br]1. 1е бипланы (авиация 3 ур.)[br]2. 6е бипланы (авиация 3 ур.)[br]3. 7е бипланы (авиация 3 ур.)[br]4. 8е бипланы (авиация 3 ур.)[br]5. 9е бипланы (авиация 3 ур.)[br]6.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6)[br]Доступные нации типы войск: Аркебузеры (пехотное, 6Мл), Всадники (мобильное, 2Мл), Пикинеры (заградит., 4Мл), РЗО (поддержка, 8Мл), Бипланы (авиация, 6Мл)[/spoiler]</v>
      </c>
      <c r="G67" s="235" t="s">
        <v>37</v>
      </c>
      <c r="H67" s="223" t="str">
        <f>"[u]Войска[/u]:[spoiler]Максимум войск в армии:"&amp;HLOOKUP(A54,Наука!D$1:K$58,58,0)&amp;VLOOKUP(A54,Нации!B$3:BA$10,32,0)&amp;"[/spoiler]"</f>
        <v>[u]Войска[/u]:[spoiler]Максимум войск в армии:6[br]1. 1е бипланы (авиация 3 ур.)[br]2. 6е бипланы (авиация 3 ур.)[br]3. 7е бипланы (авиация 3 ур.)[br]4. 8е бипланы (авиация 3 ур.)[br]5. 9е бипланы (авиация 3 ур.)[br]6.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6)[/spoiler]</v>
      </c>
      <c r="I67" s="227" t="s">
        <v>37</v>
      </c>
    </row>
    <row r="68" spans="1:9" s="220" customFormat="1" ht="15.75" thickBot="1" x14ac:dyDescent="0.3">
      <c r="A68" s="220" t="str">
        <f>Нации!B7</f>
        <v>Поднебесная</v>
      </c>
      <c r="E68" s="227" t="s">
        <v>37</v>
      </c>
      <c r="F68" s="224" t="s">
        <v>323</v>
      </c>
      <c r="G68" s="227" t="s">
        <v>37</v>
      </c>
      <c r="H68" s="224" t="s">
        <v>323</v>
      </c>
      <c r="I68" s="227" t="s">
        <v>37</v>
      </c>
    </row>
    <row r="69" spans="1:9" s="227" customFormat="1" x14ac:dyDescent="0.25">
      <c r="A69" s="81" t="str">
        <f>VLOOKUP(A68,Нации!B$3:E$10,4,0)</f>
        <v>тоталитаризм</v>
      </c>
      <c r="C69" s="81"/>
      <c r="E69" s="227" t="s">
        <v>37</v>
      </c>
      <c r="F69" s="222" t="str">
        <f>"[private="""&amp;VLOOKUP(A68,Нации!B$3:D$10,3,0)&amp;"""]Нация: "&amp;A68&amp;" (форма правления: "&amp;A69&amp;")"</f>
        <v>[private="Юй"]Нация: Поднебесная (форма правления: тоталитаризм)</v>
      </c>
      <c r="G69" s="227" t="s">
        <v>37</v>
      </c>
      <c r="H69" s="223" t="str">
        <f>F69</f>
        <v>[private="Юй"]Нация: Поднебесная (форма правления: тоталитаризм)</v>
      </c>
      <c r="I69" s="227" t="s">
        <v>37</v>
      </c>
    </row>
    <row r="70" spans="1:9" s="227" customFormat="1" x14ac:dyDescent="0.25">
      <c r="A70" s="81">
        <f>VLOOKUP(A69,База!B$30:Q$38,16,0)</f>
        <v>1</v>
      </c>
      <c r="C70" s="81"/>
      <c r="E70" s="227" t="s">
        <v>37</v>
      </c>
      <c r="F70" s="223"/>
      <c r="G70" s="227" t="s">
        <v>37</v>
      </c>
      <c r="H70" s="223"/>
      <c r="I70" s="227" t="s">
        <v>37</v>
      </c>
    </row>
    <row r="71" spans="1:9" s="227" customFormat="1" x14ac:dyDescent="0.25">
      <c r="A71" s="81" t="str">
        <f>"разведка ("&amp;1*A70&amp;" Власт"&amp;CHOOSE(A70,"ь","и")&amp;"). Допустимая дистанция движения: "&amp;HLOOKUP(A68,Наука!D$1:K$56,56,0)&amp;" (по воде: "&amp;HLOOKUP(A68,Наука!D$1:K$59,59,0)&amp;")"</f>
        <v>разведка (1 Власть). Допустимая дистанция движения: 6 (по воде: 14)</v>
      </c>
      <c r="B71" s="227" t="str">
        <f>"[u]Доступные действия[/u] (резолв производится строго в указанном порядке): [ul]"&amp;IF(A71&lt;&gt;"","[li]"&amp;A71&amp;"[/li]","")</f>
        <v>[u]Доступные действия[/u] (резолв производится строго в указанном порядке): [ul][li]разведка (1 Власть). Допустимая дистанция движения: 6 (по воде: 14)[/li]</v>
      </c>
      <c r="C71" s="81" t="str">
        <f>"[u]Доступные действия[/u] (резолв производится для каждого активированного города последовательно, строго в указанном порядке): [ul]"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D71" s="227" t="str">
        <f>C71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E71" s="227" t="s">
        <v>37</v>
      </c>
      <c r="F71" s="223" t="str">
        <f>"[br]Власть: "&amp;VLOOKUP(A68,Нации!B$3:G$10,6,0)+VLOOKUP(A68,Нации!B$3:AA$10,26,0)&amp;" (в начале хода получено "&amp;VLOOKUP(A68,Нации!B$3:AA$10,26,0)&amp;" Власти"&amp;IF(VLOOKUP(A68,Нации!B$3:AA$10,26,0)&gt;2,", в т.ч."&amp;IF(VLOOKUP(A68,Нации!B$3:AD$10,27,0)&gt;0," +"&amp;VLOOKUP(A68,Нации!B$3:AD$10,27,0)&amp;" (форма правления)","")&amp;IF(VLOOKUP(A68,Нации!B$3:AD$10,28,0)&gt;0," +"&amp;VLOOKUP(A68,Нации!B$3:AD$10,28,0)&amp;" (Чудеса света)","")&amp;IF(VLOOKUP(A68,Нации!B$3:AD$10,29,0)&gt;0," +"&amp;VLOOKUP(A68,Нации!B$3:AD$10,29,0)&amp;" (технологии)",""),"")&amp;"); Монеты: "&amp;VLOOKUP(A68,Нации!B$3:I$10,8,0)</f>
        <v>[br]Власть: 27 (в начале хода получено 8 Власти, в т.ч. +2 (форма правления) +4 (технологии)); Монеты: 77</v>
      </c>
      <c r="G71" s="227" t="s">
        <v>37</v>
      </c>
      <c r="H71" s="223" t="str">
        <f>"Власть: "&amp;VLOOKUP(A68,Нации!B$3:G$10,6,0)&amp;"; Казна: "&amp;VLOOKUP(A68,Нации!B$3:L$10,8,0)&amp;" монет; Очки науки (справочно): "&amp;VLOOKUP(A68,Нации!B$3:H$10,7,0)</f>
        <v>Власть: 19; Казна: 77 монет; Очки науки (справочно): 61</v>
      </c>
      <c r="I71" s="227" t="s">
        <v>37</v>
      </c>
    </row>
    <row r="72" spans="1:9" s="227" customFormat="1" x14ac:dyDescent="0.25">
      <c r="A72" s="81" t="str">
        <f>IF(HLOOKUP(A68,Наука!D$1:K$61,61,0)&gt;0,"шпионаж (1 Власть за каждого активного шпиона)","")</f>
        <v>шпионаж (1 Власть за каждого активного шпиона)</v>
      </c>
      <c r="B72" s="227" t="str">
        <f t="shared" ref="B72:B81" si="9">B71&amp;IF(A72&lt;&gt;"","[li]"&amp;A72&amp;"[/li]","")</f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</v>
      </c>
      <c r="C72" s="81" t="str">
        <f>"активация города ("&amp;VLOOKUP(A69,База!B$30:G$38,6,0)&amp;" Власти каждый) и получение его базовых ресурсов"</f>
        <v>активация города (0 Власти каждый) и получение его базовых ресурсов</v>
      </c>
      <c r="D72" s="227" t="str">
        <f>D71&amp;IF(C72&lt;&gt;"","[li]"&amp;C72&amp;"[/li]","")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</v>
      </c>
      <c r="E72" s="227" t="s">
        <v>37</v>
      </c>
      <c r="F72" s="223" t="str">
        <f>B81</f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последующий)[/li][li]апгрейд войск (устаревших войск нации: 6. Стоимость в монетах указана в ростете войск)[/li][li]восстановление войск (уничтоженных войск нации: 23.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61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тоталитаризм[/li][li]объявление,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монеты.[/li]</v>
      </c>
      <c r="G72" s="227" t="s">
        <v>37</v>
      </c>
      <c r="H72" s="223" t="str">
        <f ca="1">"[u]Города[/u]: (максимальное население (нас.) города: "&amp;HLOOKUP(A68,Наука!D$1:K$57,57,0)&amp;")."&amp;VLOOKUP(A68,Нации!B$3:BA$10,34,0)&amp;"[br][br][quote]Доход от обработки хексов:"&amp;VLOOKUP(A68,Нации!B$3:AJ$10,35,0)</f>
        <v>[u]Города[/u]: (максимальное население (нас.) города: 6).[br][b]Шанхай[/b]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ОН)[br][br][quote]Доход от обработки хексов:[ul][li]холмы: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</v>
      </c>
      <c r="I72" s="227" t="s">
        <v>37</v>
      </c>
    </row>
    <row r="73" spans="1:9" s="227" customFormat="1" x14ac:dyDescent="0.25">
      <c r="A73" s="81" t="str">
        <f>"основание нового города ("&amp;VLOOKUP(A68,Нации!B$3:J$10,9,0)*A70&amp;" Власт"&amp;IF(A70=1,"ь","и")&amp;", +1 за каждый последующий)"</f>
        <v>основание нового города (6 Власть, +1 за каждый последующий)</v>
      </c>
      <c r="B73" s="227" t="str">
        <f t="shared" si="9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</v>
      </c>
      <c r="C73" s="81" t="str">
        <f>"распределение жителей на хексы рядом с городом для получения "&amp;База!$L$2&amp;", "&amp;База!$L$3&amp;", "&amp;База!$L$4&amp;" или для роста населения (1 житель на 1 хекс)"</f>
        <v>распределение жителей на хексы рядом с городом для получения Мл, Мн, ОН или для роста населения (1 житель на 1 хекс)</v>
      </c>
      <c r="D73" s="227" t="str">
        <f t="shared" ref="D73:D77" si="10">D72&amp;IF(C73&lt;&gt;"","[li]"&amp;C73&amp;"[/li]","")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</v>
      </c>
      <c r="E73" s="227" t="s">
        <v>37</v>
      </c>
      <c r="F73" s="223" t="s">
        <v>401</v>
      </c>
      <c r="G73" s="227" t="s">
        <v>37</v>
      </c>
      <c r="H73" s="223" t="s">
        <v>402</v>
      </c>
      <c r="I73" s="227" t="s">
        <v>37</v>
      </c>
    </row>
    <row r="74" spans="1:9" s="227" customFormat="1" x14ac:dyDescent="0.25">
      <c r="A74" s="81" t="str">
        <f>IF(HLOOKUP(A68,Армии!B$1:AG$65,64,0),"апгрейд войск (устаревших войск нации: "&amp;HLOOKUP(A68,Армии!B$1:AG$65,64,0)&amp;". Стоимость в монетах указана в ростете войск)","")</f>
        <v>апгрейд войск (устаревших войск нации: 6. Стоимость в монетах указана в ростете войск)</v>
      </c>
      <c r="B74" s="227" t="str">
        <f t="shared" si="9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последующий)[/li][li]апгрейд войск (устаревших войск нации: 6. Стоимость в монетах указана в ростете войск)[/li]</v>
      </c>
      <c r="C74" s="81" t="str">
        <f>"заявка на использование городом ресурса (1 город может за ход использовать только 1 ресурс в ход). В наличии: "&amp;VLOOKUP(A68,Нации!B$3:AK$10,36,0)</f>
        <v>заявка на использование городом ресурса (1 город может за ход использовать только 1 ресурс в ход). В наличии: медь, кофе, 3x золото</v>
      </c>
      <c r="D74" s="227" t="str">
        <f t="shared" si="10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медь, кофе, 3x золото[/li]</v>
      </c>
      <c r="E74" s="227" t="s">
        <v>37</v>
      </c>
      <c r="F74" s="223"/>
      <c r="G74" s="227" t="s">
        <v>37</v>
      </c>
      <c r="H74" s="223"/>
      <c r="I74" s="227" t="s">
        <v>37</v>
      </c>
    </row>
    <row r="75" spans="1:9" s="227" customFormat="1" x14ac:dyDescent="0.25">
      <c r="A75" s="81" t="str">
        <f>IF(HLOOKUP(A68,Армии!B$1:AG$65,65,0),"восстановление войск (уничтоженных войск нации: "&amp;HLOOKUP(A68,Армии!B$1:AG$65,65,0)&amp;". Стоимость в монетах указана в ростере войск)","")</f>
        <v>восстановление войск (уничтоженных войск нации: 23. Стоимость в монетах указана в ростере войск)</v>
      </c>
      <c r="B75" s="227" t="str">
        <f t="shared" si="9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последующий)[/li][li]апгрейд войск (устаревших войск нации: 6. Стоимость в монетах указана в ростете войск)[/li][li]восстановление войск (уничтоженных войск нации: 23. Стоимость в монетах указана в ростере войск)[/li]</v>
      </c>
      <c r="C75" s="81" t="str">
        <f ca="1">"использование собранных молотков для создания новых войск. Доступны: "&amp;HLOOKUP(A68,Наука!D$1:K$89,89,0)</f>
        <v>использование собранных молотков для создания новых войск. Доступны: Аркебузеры (пехотное, 6Мл), Пулеметчики (заградит., 6Мл), РЗО (поддержка, 8Мл), Реактивные самолеты (авиация, 8Мл)</v>
      </c>
      <c r="D75" s="227" t="str">
        <f t="shared" ca="1" si="10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медь, кофе, 3x золото[/li][li]использование собранных молотков для создания новых войск. Доступны: Аркебузеры (пехотное, 6Мл), Пулеметчики (заградит., 6Мл), РЗО (поддержка, 8Мл), Реактивные самолеты (авиация, 8Мл)[/li]</v>
      </c>
      <c r="E75" s="227" t="s">
        <v>37</v>
      </c>
      <c r="F75" s="223" t="s">
        <v>400</v>
      </c>
      <c r="G75" s="227" t="s">
        <v>37</v>
      </c>
      <c r="H75" s="223" t="str">
        <f ca="1">D77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медь, кофе, 3x золото[/li][li]использование собранных молотков для создания новых войск. Доступны: Аркебузеры (пехотное, 6Мл), Пулеметчики (заградит., 6Мл), РЗО (поддержка, 8Мл), Реактивные самолеты (авиация, 8Мл)[/li][li]возведение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казармы (оборона, цена 2Мл), стены (укрепления, цена 4Мл) (каждая постройка после первой требует 1 Власти)[/li]</v>
      </c>
      <c r="I75" s="227" t="s">
        <v>37</v>
      </c>
    </row>
    <row r="76" spans="1:9" s="227" customFormat="1" x14ac:dyDescent="0.25">
      <c r="A76" s="81" t="str">
        <f>"реорганизация армии (изменение последовательности войск в колоде, возможен роспуск войск) ("&amp;A70&amp;" Власт"&amp;CHOOSE(A70,"ь","и")&amp;");"</f>
        <v>реорганизация армии (изменение последовательности войск в колоде, возможен роспуск войск) (1 Власть);</v>
      </c>
      <c r="B76" s="227" t="str">
        <f t="shared" si="9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последующий)[/li][li]апгрейд войск (устаревших войск нации: 6. Стоимость в монетах указана в ростете войск)[/li][li]восстановление войск (уничтоженных войск нации: 23.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</v>
      </c>
      <c r="C76" s="81" t="str">
        <f ca="1">"возведение "&amp;IF(HLOOKUP(A68,Наука!D$1:K$76,76,0)&lt;&gt;"","и улучшение (апгрейд) построек и ","")&amp;"заявленных Чудес света."&amp;IF(HLOOKUP(A68,Наука!D$1:K$76,76,0)&lt;&gt;""," Доступны для строительства: "&amp;HLOOKUP(A68,Наука!D$1:K$76,76,0)&amp;" (каждая постройка после "&amp;IF(VLOOKUP(Наука!$O$57,Наука!$B$1:$J$45,VLOOKUP(Реп2!A68,Нации!$B$3:$C$9,2,0)+2),"первой","второй")&amp;" требует 1 Власти)","")</f>
        <v>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казармы (оборона, цена 2Мл), стены (укрепления, цена 4Мл) (каждая постройка после первой требует 1 Власти)</v>
      </c>
      <c r="D76" s="227" t="str">
        <f t="shared" ca="1" si="10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медь, кофе, 3x золото[/li][li]использование собранных молотков для создания новых войск. Доступны: Аркебузеры (пехотное, 6Мл), Пулеметчики (заградит., 6Мл), РЗО (поддержка, 8Мл), Реактивные самолеты (авиация, 8Мл)[/li][li]возведение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казармы (оборона, цена 2Мл), стены (укрепления, цена 4Мл) (каждая постройка после первой требует 1 Власти)[/li]</v>
      </c>
      <c r="E76" s="227" t="s">
        <v>37</v>
      </c>
      <c r="F76" s="223" t="str">
        <f>"[u]Ресурсы нации:[/u] "&amp;VLOOKUP(A68,Нации!B$3:AK$10,36,0)</f>
        <v>[u]Ресурсы нации:[/u] медь, кофе, 3x золото</v>
      </c>
      <c r="G76" s="227" t="s">
        <v>37</v>
      </c>
      <c r="H76" s="223" t="s">
        <v>401</v>
      </c>
      <c r="I76" s="227" t="s">
        <v>37</v>
      </c>
    </row>
    <row r="77" spans="1:9" s="227" customFormat="1" x14ac:dyDescent="0.25">
      <c r="A77" s="81" t="str">
        <f>"нападения на города других наций ("&amp;A70*VLOOKUP(A69,База!B$30:O$38,14,0)&amp;" Власт"&amp;CHOOSE(A70,"ь","и","и")&amp;" за каждую атаку; аннексия в случае захвата потребует Власть по размеру атакованного города"&amp;IF(A70&gt;1," x"&amp;A70,"")&amp;");"</f>
        <v>нападения на города других наций (1 Власть за каждую атаку; аннексия в случае захвата потребует Власть по размеру атакованного города);</v>
      </c>
      <c r="B77" s="227" t="str">
        <f t="shared" si="9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последующий)[/li][li]апгрейд войск (устаревших войск нации: 6. Стоимость в монетах указана в ростете войск)[/li][li]восстановление войск (уничтоженных войск нации: 23.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</v>
      </c>
      <c r="C77" s="81"/>
      <c r="D77" s="227" t="str">
        <f t="shared" ca="1" si="10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медь, кофе, 3x золото[/li][li]использование собранных молотков для создания новых войск. Доступны: Аркебузеры (пехотное, 6Мл), Пулеметчики (заградит., 6Мл), РЗО (поддержка, 8Мл), Реактивные самолеты (авиация, 8Мл)[/li][li]возведение и улучшение (апгрейд) построек и заявленных Чудес света. Доступны для строительства: завод (производство, цена 8Мл), банк (торговля, цена 6Мл), лаборатория (наука, цена 6Мл), казармы (оборона, цена 2Мл), стены (укрепления, цена 4Мл) (каждая постройка после первой требует 1 Власти)[/li]</v>
      </c>
      <c r="E77" s="227" t="s">
        <v>37</v>
      </c>
      <c r="F77" s="223"/>
      <c r="G77" s="227" t="s">
        <v>37</v>
      </c>
      <c r="H77" s="223" t="str">
        <f>F75</f>
        <v>[u]Справочно[/u]:</v>
      </c>
      <c r="I77" s="227" t="s">
        <v>37</v>
      </c>
    </row>
    <row r="78" spans="1:9" s="227" customFormat="1" x14ac:dyDescent="0.25">
      <c r="A78" s="81" t="str">
        <f>"изучение технологий, имеется "&amp;VLOOKUP(A68,Нации!B$3:H$10,7,0)&amp;" очков науки (цена технологии зависит от эпохи: 2/5/10/20/30, 2я и последующие техи требуют +2 Власти)"</f>
        <v>изучение технологий, имеется 61 очков науки (цена технологии зависит от эпохи: 2/5/10/20/30, 2я и последующие техи требуют +2 Власти)</v>
      </c>
      <c r="B78" s="227" t="str">
        <f t="shared" si="9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последующий)[/li][li]апгрейд войск (устаревших войск нации: 6. Стоимость в монетах указана в ростете войск)[/li][li]восстановление войск (уничтоженных войск нации: 23.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61 очков науки (цена технологии зависит от эпохи: 2/5/10/20/30, 2я и последующие техи требуют +2 Власти)[/li]</v>
      </c>
      <c r="C78" s="81" t="s">
        <v>37</v>
      </c>
      <c r="E78" s="227" t="s">
        <v>37</v>
      </c>
      <c r="F78" s="223" t="str">
        <f ca="1">"[u]Известные технологии:[/u]"&amp;VLOOKUP(A68,Нации!B$3:AH$10,33,0)</f>
        <v xml:space="preserve">[u]Известные технологии:[/u][br]Технологии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[br]Технологии будущего (2): Технология будущего 1; Технология будущего 2; </v>
      </c>
      <c r="G78" s="227" t="s">
        <v>37</v>
      </c>
      <c r="H78" s="223"/>
      <c r="I78" s="227" t="s">
        <v>37</v>
      </c>
    </row>
    <row r="79" spans="1:9" s="227" customFormat="1" x14ac:dyDescent="0.25">
      <c r="A79" s="81" t="str">
        <f>"изменение формы правления (за "&amp;HLOOKUP(A68,Наука!D$1:K$53,53,0)*A70&amp;" Власт"&amp;IF(HLOOKUP(A68,Наука!D$1:K$53,53,0)*A70=1,"ь","и")&amp;", если не открывается в этот ход). Доступны: "&amp;HLOOKUP(A68,Наука!D$1:K$109,109,0)</f>
        <v>изменение формы правления (за 5 Власти, если не открывается в этот ход). Доступны: деспотизм, республика, античная демократия, тоталитаризм</v>
      </c>
      <c r="B79" s="227" t="str">
        <f t="shared" si="9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последующий)[/li][li]апгрейд войск (устаревших войск нации: 6. Стоимость в монетах указана в ростете войск)[/li][li]восстановление войск (уничтоженных войск нации: 23.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61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тоталитаризм[/li]</v>
      </c>
      <c r="C79" s="81" t="s">
        <v>37</v>
      </c>
      <c r="E79" s="227" t="s">
        <v>37</v>
      </c>
      <c r="F79" s="223"/>
      <c r="G79" s="227" t="s">
        <v>37</v>
      </c>
      <c r="H79" s="223" t="str">
        <f ca="1">F78</f>
        <v xml:space="preserve">[u]Известные технологии:[/u][br]Технологии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[br]Технологии будущего (2): Технология будущего 1; Технология будущего 2; </v>
      </c>
      <c r="I79" s="227" t="s">
        <v>37</v>
      </c>
    </row>
    <row r="80" spans="1:9" s="227" customFormat="1" x14ac:dyDescent="0.25">
      <c r="A80" s="81" t="str">
        <f>"объявление, какой город планирует строить какое Чудо света (не обязательно)"</f>
        <v>объявление, какой город планирует строить какое Чудо света (не обязательно)</v>
      </c>
      <c r="B80" s="227" t="str">
        <f t="shared" si="9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последующий)[/li][li]апгрейд войск (устаревших войск нации: 6. Стоимость в монетах указана в ростете войск)[/li][li]восстановление войск (уничтоженных войск нации: 23.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61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тоталитаризм[/li][li]объявление, какой город планирует строить какое Чудо света (не обязательно)[/li]</v>
      </c>
      <c r="C80" s="81" t="s">
        <v>37</v>
      </c>
      <c r="E80" s="227" t="s">
        <v>37</v>
      </c>
      <c r="F80" s="223" t="str">
        <f ca="1">"[u]Города[/u]:[spoiler]Максимальное население (нас.) города: "&amp;HLOOKUP(A68,Наука!D$1:K$57,57,0)&amp;VLOOKUP(A68,Нации!B$3:BA$10,34,0)&amp;"[br]* Доступные постройки: "&amp;HLOOKUP(A68,Наука!D$1:K$76,76,0)&amp;"[br][quote]Доход от обработки хексов:"&amp;VLOOKUP(A68,Нации!B$3:AJ$10,35,0)&amp;"[/quote][/spoiler]"</f>
        <v>[u]Города[/u]:[spoiler]Максимальное население (нас.) города: 6[br][b]Шанхай[/b]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ОН)[br]* Доступные постройки: завод (производство, цена 8Мл), банк (торговля, цена 6Мл), лаборатория (наука, цена 6Мл), казармы (оборона, цена 2Мл), стены (укрепления, цена 4Мл)[br][quote]Доход от обработки хексов:[ul][li]холмы: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ОН)[/li][/quote][/spoiler]</v>
      </c>
      <c r="G80" s="227" t="s">
        <v>37</v>
      </c>
      <c r="H80" s="223"/>
      <c r="I80" s="227" t="s">
        <v>37</v>
      </c>
    </row>
    <row r="81" spans="1:9" s="227" customFormat="1" x14ac:dyDescent="0.25">
      <c r="A81" s="81" t="str">
        <f>"дипломатический обмен. "&amp;IF(HLOOKUP(A68,Наука!D$1:K$99,99,0)&lt;&gt;"","Вы можете инициировать обмен и обменивать "&amp;HLOOKUP(A68,Наука!D$1:K$99,99,0)&amp;".","Вы не можете инициировать обмен.")</f>
        <v>дипломатический обмен. Вы можете инициировать обмен и обменивать города, ресурсы, монеты.</v>
      </c>
      <c r="B81" s="227" t="str">
        <f t="shared" si="9"/>
        <v>[u]Доступные действия[/u] (резолв производится строго в указанном порядке): [ul][li]разведка (1 Власть). Допустимая дистанция движения: 6 (по воде: 14)[/li][li]шпионаж (1 Власть за каждого активного шпиона)[/li][li]основание нового города (6 Власть, +1 за каждый последующий)[/li][li]апгрейд войск (устаревших войск нации: 6. Стоимость в монетах указана в ростете войск)[/li][li]восстановление войск (уничтоженных войск нации: 23.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61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античная демократия, тоталитаризм[/li][li]объявление,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монеты.[/li]</v>
      </c>
      <c r="C81" s="81" t="s">
        <v>37</v>
      </c>
      <c r="E81" s="227" t="s">
        <v>37</v>
      </c>
      <c r="F81" s="223" t="str">
        <f ca="1">"[u]Войска[/u]:[spoiler]Максимум войск в армии:"&amp;HLOOKUP(A68,Наука!D$1:K$58,58,0)&amp;VLOOKUP(A68,Нации!B$3:BA$10,32,0)&amp;"[br]Доступные нации типы войск: "&amp;HLOOKUP(A68,Наука!D$1:K$89,89,0)&amp;"[/spoiler]"</f>
        <v>[u]Войска[/u]:[spoiler]Максимум войск в армии:7[br]1. 11й РСЗО Донгфенг  (поддержка 4 ур.)[br]2. 10я РЭ Дженду J-20 (авиация 4 ур.)[br]3. 2я батарея (поддержка 4 ур.)[br]4. 2й полк Чженду J-20 "Морской орел" (авиация 4 ур.)[br]5. 9я батарея (поддержка 4 ур.)[br]6.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6)[br]Доступные нации типы войск: Аркебузеры (пехотное, 6Мл), Пулеметчики (заградит., 6Мл), РЗО (поддержка, 8Мл), Реактивные самолеты (авиация, 8Мл)[/spoiler]</v>
      </c>
      <c r="G81" s="235" t="s">
        <v>37</v>
      </c>
      <c r="H81" s="223" t="str">
        <f>"[u]Войска[/u]:[spoiler]Максимум войск в армии:"&amp;HLOOKUP(A68,Наука!D$1:K$58,58,0)&amp;VLOOKUP(A68,Нации!B$3:BA$10,32,0)&amp;"[/spoiler]"</f>
        <v>[u]Войска[/u]:[spoiler]Максимум войск в армии:7[br]1. 11й РСЗО Донгфенг  (поддержка 4 ур.)[br]2. 10я РЭ Дженду J-20 (авиация 4 ур.)[br]3. 2я батарея (поддержка 4 ур.)[br]4. 2й полк Чженду J-20 "Морской орел" (авиация 4 ур.)[br]5. 9я батарея (поддержка 4 ур.)[br]6.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6)[/spoiler]</v>
      </c>
      <c r="I81" s="227" t="s">
        <v>37</v>
      </c>
    </row>
    <row r="82" spans="1:9" s="220" customFormat="1" ht="15.75" thickBot="1" x14ac:dyDescent="0.3">
      <c r="A82" s="220" t="str">
        <f>Нации!B8</f>
        <v>Индонезия</v>
      </c>
      <c r="E82" s="227" t="s">
        <v>37</v>
      </c>
      <c r="F82" s="224" t="s">
        <v>323</v>
      </c>
      <c r="G82" s="227" t="s">
        <v>37</v>
      </c>
      <c r="H82" s="224" t="s">
        <v>323</v>
      </c>
      <c r="I82" s="227" t="s">
        <v>37</v>
      </c>
    </row>
    <row r="83" spans="1:9" s="227" customFormat="1" x14ac:dyDescent="0.25">
      <c r="A83" s="81" t="str">
        <f>VLOOKUP(A82,Нации!B$3:E$10,4,0)</f>
        <v>тоталитаризм</v>
      </c>
      <c r="C83" s="81"/>
      <c r="E83" s="227" t="s">
        <v>37</v>
      </c>
      <c r="F83" s="222" t="str">
        <f>"[private="""&amp;VLOOKUP(A82,Нации!B$3:D$10,3,0)&amp;"""]Нация: "&amp;A82&amp;" (форма правления: "&amp;A83&amp;")"</f>
        <v>[private="Саладор Сан"]Нация: Индонезия (форма правления: тоталитаризм)</v>
      </c>
      <c r="G83" s="227" t="s">
        <v>37</v>
      </c>
      <c r="H83" s="223" t="str">
        <f>F83</f>
        <v>[private="Саладор Сан"]Нация: Индонезия (форма правления: тоталитаризм)</v>
      </c>
      <c r="I83" s="227" t="s">
        <v>37</v>
      </c>
    </row>
    <row r="84" spans="1:9" s="227" customFormat="1" x14ac:dyDescent="0.25">
      <c r="A84" s="81">
        <f>VLOOKUP(A83,База!B$30:Q$38,16,0)</f>
        <v>1</v>
      </c>
      <c r="C84" s="81"/>
      <c r="E84" s="227" t="s">
        <v>37</v>
      </c>
      <c r="F84" s="223"/>
      <c r="G84" s="227" t="s">
        <v>37</v>
      </c>
      <c r="H84" s="223"/>
      <c r="I84" s="227" t="s">
        <v>37</v>
      </c>
    </row>
    <row r="85" spans="1:9" s="227" customFormat="1" x14ac:dyDescent="0.25">
      <c r="A85" s="81" t="str">
        <f>"разведка ("&amp;1*A84&amp;" Власт"&amp;CHOOSE(A84,"ь","и")&amp;"). Допустимая дистанция движения: "&amp;HLOOKUP(A82,Наука!D$1:K$56,56,0)&amp;" (по воде: "&amp;HLOOKUP(A82,Наука!D$1:K$59,59,0)&amp;")"</f>
        <v>разведка (1 Власть). Допустимая дистанция движения: 6 (по воде: 10)</v>
      </c>
      <c r="B85" s="227" t="str">
        <f>"[u]Доступные действия[/u] (резолв производится строго в указанном порядке): [ul]"&amp;IF(A85&lt;&gt;"","[li]"&amp;A85&amp;"[/li]","")</f>
        <v>[u]Доступные действия[/u] (резолв производится строго в указанном порядке): [ul][li]разведка (1 Власть). Допустимая дистанция движения: 6 (по воде: 10)[/li]</v>
      </c>
      <c r="C85" s="81" t="str">
        <f>"[u]Доступные действия[/u] (резолв производится для каждого активированного города последовательно, строго в указанном порядке): [ul]"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D85" s="227" t="str">
        <f>C85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E85" s="227" t="s">
        <v>37</v>
      </c>
      <c r="F85" s="223" t="str">
        <f>"[br]Власть: "&amp;VLOOKUP(A82,Нации!B$3:G$10,6,0)+VLOOKUP(A82,Нации!B$3:AA$10,26,0)&amp;" (в начале хода получено "&amp;VLOOKUP(A82,Нации!B$3:AA$10,26,0)&amp;" Власти"&amp;IF(VLOOKUP(A82,Нации!B$3:AA$10,26,0)&gt;2,", в т.ч."&amp;IF(VLOOKUP(A82,Нации!B$3:AD$10,27,0)&gt;0," +"&amp;VLOOKUP(A82,Нации!B$3:AD$10,27,0)&amp;" (форма правления)","")&amp;IF(VLOOKUP(A82,Нации!B$3:AD$10,28,0)&gt;0," +"&amp;VLOOKUP(A82,Нации!B$3:AD$10,28,0)&amp;" (Чудеса света)","")&amp;IF(VLOOKUP(A82,Нации!B$3:AD$10,29,0)&gt;0," +"&amp;VLOOKUP(A82,Нации!B$3:AD$10,29,0)&amp;" (технологии)",""),"")&amp;"); Монеты: "&amp;VLOOKUP(A82,Нации!B$3:I$10,8,0)</f>
        <v>[br]Власть: 8 (в начале хода получено 8 Власти, в т.ч. +2 (форма правления) +4 (технологии)); Монеты: 6</v>
      </c>
      <c r="G85" s="227" t="s">
        <v>37</v>
      </c>
      <c r="H85" s="223" t="str">
        <f>"Власть: "&amp;VLOOKUP(A82,Нации!B$3:G$10,6,0)&amp;"; Казна: "&amp;VLOOKUP(A82,Нации!B$3:L$10,8,0)&amp;" монет; Очки науки (справочно): "&amp;VLOOKUP(A82,Нации!B$3:H$10,7,0)</f>
        <v>Власть: 0; Казна: 6 монет; Очки науки (справочно): 0</v>
      </c>
      <c r="I85" s="227" t="s">
        <v>37</v>
      </c>
    </row>
    <row r="86" spans="1:9" s="227" customFormat="1" x14ac:dyDescent="0.25">
      <c r="A86" s="81" t="str">
        <f>IF(HLOOKUP(A82,Наука!D$1:K$61,61,0)&gt;0,"шпионаж (1 Власть за каждого активного шпиона)","")</f>
        <v>шпионаж (1 Власть за каждого активного шпиона)</v>
      </c>
      <c r="B86" s="227" t="str">
        <f t="shared" ref="B86:B95" si="11">B85&amp;IF(A86&lt;&gt;"","[li]"&amp;A86&amp;"[/li]","")</f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</v>
      </c>
      <c r="C86" s="81" t="str">
        <f>"активация города ("&amp;VLOOKUP(A83,База!B$30:G$38,6,0)&amp;" Власти каждый) и получение его базовых ресурсов"</f>
        <v>активация города (0 Власти каждый) и получение его базовых ресурсов</v>
      </c>
      <c r="D86" s="227" t="str">
        <f>D85&amp;IF(C86&lt;&gt;"","[li]"&amp;C86&amp;"[/li]","")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</v>
      </c>
      <c r="E86" s="227" t="s">
        <v>37</v>
      </c>
      <c r="F86" s="223" t="str">
        <f>B95</f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последующий)[/li][li]апгрейд войск (устаревших войск нации: 7. Стоимость в монетах указана в ростете войск)[/li][li]восстановление войск (уничтоженных войск нации: 29.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0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теократия, федерация, тоталитаризм[/li][li]объявление, какой город планирует строить какое Чудо света (не обязательно)[/li][li]дипломатический обмен. Вы можете инициировать обмен и обменивать ресурсы, монеты, Власть.[/li]</v>
      </c>
      <c r="G86" s="227" t="s">
        <v>37</v>
      </c>
      <c r="H86" s="223" t="str">
        <f ca="1">"[u]Города[/u]: (максимальное население (нас.) города: "&amp;HLOOKUP(A82,Наука!D$1:K$57,57,0)&amp;")."&amp;VLOOKUP(A82,Нации!B$3:BA$10,34,0)&amp;"[br][br][quote]Доход от обработки хексов:"&amp;VLOOKUP(A82,Нации!B$3:AJ$10,35,0)</f>
        <v>[u]Города[/u]: (максимальное население (нас.) города: 5).[br][b]Медая[/b]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+3).[br][br][quote]Доход от обработки хексов:[ul][li]холмы: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 - не обрабатываются[/li]</v>
      </c>
      <c r="I86" s="227" t="s">
        <v>37</v>
      </c>
    </row>
    <row r="87" spans="1:9" s="227" customFormat="1" x14ac:dyDescent="0.25">
      <c r="A87" s="81" t="str">
        <f>"основание нового города ("&amp;VLOOKUP(A82,Нации!B$3:J$10,9,0)*A84&amp;" Власт"&amp;IF(A84=1,"ь","и")&amp;", +1 за каждый последующий)"</f>
        <v>основание нового города (8 Власть, +1 за каждый последующий)</v>
      </c>
      <c r="B87" s="227" t="str">
        <f t="shared" si="11"/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</v>
      </c>
      <c r="C87" s="81" t="str">
        <f>"распределение жителей на хексы рядом с городом для получения "&amp;База!$L$2&amp;", "&amp;База!$L$3&amp;", "&amp;База!$L$4&amp;" или для роста населения (1 житель на 1 хекс)"</f>
        <v>распределение жителей на хексы рядом с городом для получения Мл, Мн, ОН или для роста населения (1 житель на 1 хекс)</v>
      </c>
      <c r="D87" s="227" t="str">
        <f t="shared" ref="D87:D91" si="12">D86&amp;IF(C87&lt;&gt;"","[li]"&amp;C87&amp;"[/li]","")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</v>
      </c>
      <c r="E87" s="227" t="s">
        <v>37</v>
      </c>
      <c r="F87" s="223" t="s">
        <v>401</v>
      </c>
      <c r="G87" s="227" t="s">
        <v>37</v>
      </c>
      <c r="H87" s="223" t="s">
        <v>402</v>
      </c>
      <c r="I87" s="227" t="s">
        <v>37</v>
      </c>
    </row>
    <row r="88" spans="1:9" s="227" customFormat="1" x14ac:dyDescent="0.25">
      <c r="A88" s="81" t="str">
        <f>IF(HLOOKUP(A82,Армии!B$1:AG$65,64,0),"апгрейд войск (устаревших войск нации: "&amp;HLOOKUP(A82,Армии!B$1:AG$65,64,0)&amp;". Стоимость в монетах указана в ростете войск)","")</f>
        <v>апгрейд войск (устаревших войск нации: 7. Стоимость в монетах указана в ростете войск)</v>
      </c>
      <c r="B88" s="227" t="str">
        <f t="shared" si="11"/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последующий)[/li][li]апгрейд войск (устаревших войск нации: 7. Стоимость в монетах указана в ростете войск)[/li]</v>
      </c>
      <c r="C88" s="81" t="str">
        <f>"заявка на использование городом ресурса (1 город может за ход использовать только 1 ресурс в ход). В наличии: "&amp;VLOOKUP(A82,Нации!B$3:AK$10,36,0)</f>
        <v>заявка на использование городом ресурса (1 город может за ход использовать только 1 ресурс в ход). В наличии: железо, мрамор, 2x камень, медь, 2x зерно, кофе, 2x золото</v>
      </c>
      <c r="D88" s="227" t="str">
        <f t="shared" si="12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железо, мрамор, 2x камень, медь, 2x зерно, кофе, 2x золото[/li]</v>
      </c>
      <c r="E88" s="227" t="s">
        <v>37</v>
      </c>
      <c r="F88" s="223"/>
      <c r="G88" s="227" t="s">
        <v>37</v>
      </c>
      <c r="H88" s="223"/>
      <c r="I88" s="227" t="s">
        <v>37</v>
      </c>
    </row>
    <row r="89" spans="1:9" s="227" customFormat="1" x14ac:dyDescent="0.25">
      <c r="A89" s="81" t="str">
        <f>IF(HLOOKUP(A82,Армии!B$1:AG$65,65,0),"восстановление войск (уничтоженных войск нации: "&amp;HLOOKUP(A82,Армии!B$1:AG$65,65,0)&amp;". Стоимость в монетах указана в ростере войск)","")</f>
        <v>восстановление войск (уничтоженных войск нации: 29. Стоимость в монетах указана в ростере войск)</v>
      </c>
      <c r="B89" s="227" t="str">
        <f t="shared" si="11"/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последующий)[/li][li]апгрейд войск (устаревших войск нации: 7. Стоимость в монетах указана в ростете войск)[/li][li]восстановление войск (уничтоженных войск нации: 29. Стоимость в монетах указана в ростере войск)[/li]</v>
      </c>
      <c r="C89" s="81" t="str">
        <f ca="1">"использование собранных молотков для создания новых войск. Доступны: "&amp;HLOOKUP(A82,Наука!D$1:K$89,89,0)</f>
        <v>использование собранных молотков для создания новых войск. Доступны: Ватага (пехотное, 2Мл), Рыцари (мобильное, 4Мл), Копейщики (заградит., 2Мл), РЗО (поддержка, 8Мл), Реактивные самолеты (авиация, 8Мл)</v>
      </c>
      <c r="D89" s="227" t="str">
        <f t="shared" ca="1" si="12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железо, мрамор, 2x камень, медь, 2x зерно, кофе, 2x золото[/li][li]использование собранных молотков для создания новых войск. Доступны: Ватага (пехотное, 2Мл), Рыцари (мобильное, 4Мл), Копейщики (заградит., 2Мл), РЗО (поддержка, 8Мл), Реактивные самолеты (авиация, 8Мл)[/li]</v>
      </c>
      <c r="E89" s="227" t="s">
        <v>37</v>
      </c>
      <c r="F89" s="223" t="s">
        <v>400</v>
      </c>
      <c r="G89" s="227" t="s">
        <v>37</v>
      </c>
      <c r="H89" s="223" t="str">
        <f ca="1">D91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железо, мрамор, 2x камень, медь, 2x зерно, кофе, 2x золото[/li][li]использование собранных молотков для создания новых войск. Доступны: Ватага (пехотное, 2Мл), Рыцари (мобильное, 4Мл), Копейщики (заградит., 2Мл), РЗО (поддержка, 8Мл), Реактивные самолеты (авиация, 8Мл)[/li][li]возведение и улучшение (апгрейд) построек и заявленных Чудес света. Доступны для строительства: завод (производство, цена 8Мл), базар (торговля, цена 4Мл), библиотека (наука, цена 2Мл), арсенал (оборона, цена 4Мл), стены (укрепления, цена 4Мл) (каждая постройка после первой требует 1 Власти)[/li]</v>
      </c>
      <c r="I89" s="227" t="s">
        <v>37</v>
      </c>
    </row>
    <row r="90" spans="1:9" s="227" customFormat="1" x14ac:dyDescent="0.25">
      <c r="A90" s="81" t="str">
        <f>"реорганизация армии (изменение последовательности войск в колоде, возможен роспуск войск) ("&amp;A84&amp;" Власт"&amp;CHOOSE(A84,"ь","и")&amp;");"</f>
        <v>реорганизация армии (изменение последовательности войск в колоде, возможен роспуск войск) (1 Власть);</v>
      </c>
      <c r="B90" s="227" t="str">
        <f t="shared" si="11"/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последующий)[/li][li]апгрейд войск (устаревших войск нации: 7. Стоимость в монетах указана в ростете войск)[/li][li]восстановление войск (уничтоженных войск нации: 29.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</v>
      </c>
      <c r="C90" s="81" t="str">
        <f ca="1">"возведение "&amp;IF(HLOOKUP(A82,Наука!D$1:K$76,76,0)&lt;&gt;"","и улучшение (апгрейд) построек и ","")&amp;"заявленных Чудес света."&amp;IF(HLOOKUP(A82,Наука!D$1:K$76,76,0)&lt;&gt;""," Доступны для строительства: "&amp;HLOOKUP(A82,Наука!D$1:K$76,76,0)&amp;" (каждая постройка после "&amp;IF(VLOOKUP(Наука!$O$57,Наука!$B$1:$J$45,VLOOKUP(Реп2!A82,Нации!$B$3:$C$9,2,0)+2),"первой","второй")&amp;" требует 1 Власти)","")</f>
        <v>возведение и улучшение (апгрейд) построек и заявленных Чудес света. Доступны для строительства: завод (производство, цена 8Мл), базар (торговля, цена 4Мл), библиотека (наука, цена 2Мл), арсенал (оборона, цена 4Мл), стены (укрепления, цена 4Мл) (каждая постройка после первой требует 1 Власти)</v>
      </c>
      <c r="D90" s="227" t="str">
        <f t="shared" ca="1" si="12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железо, мрамор, 2x камень, медь, 2x зерно, кофе, 2x золото[/li][li]использование собранных молотков для создания новых войск. Доступны: Ватага (пехотное, 2Мл), Рыцари (мобильное, 4Мл), Копейщики (заградит., 2Мл), РЗО (поддержка, 8Мл), Реактивные самолеты (авиация, 8Мл)[/li][li]возведение и улучшение (апгрейд) построек и заявленных Чудес света. Доступны для строительства: завод (производство, цена 8Мл), базар (торговля, цена 4Мл), библиотека (наука, цена 2Мл), арсенал (оборона, цена 4Мл), стены (укрепления, цена 4Мл) (каждая постройка после первой требует 1 Власти)[/li]</v>
      </c>
      <c r="E90" s="227" t="s">
        <v>37</v>
      </c>
      <c r="F90" s="223" t="str">
        <f>"[u]Ресурсы нации:[/u] "&amp;VLOOKUP(A82,Нации!B$3:AK$10,36,0)</f>
        <v>[u]Ресурсы нации:[/u] железо, мрамор, 2x камень, медь, 2x зерно, кофе, 2x золото</v>
      </c>
      <c r="G90" s="227" t="s">
        <v>37</v>
      </c>
      <c r="H90" s="223" t="s">
        <v>401</v>
      </c>
      <c r="I90" s="227" t="s">
        <v>37</v>
      </c>
    </row>
    <row r="91" spans="1:9" s="227" customFormat="1" x14ac:dyDescent="0.25">
      <c r="A91" s="81" t="str">
        <f>"нападения на города других наций ("&amp;A84*VLOOKUP(A83,База!B$30:O$38,14,0)&amp;" Власт"&amp;CHOOSE(A84,"ь","и","и")&amp;" за каждую атаку; аннексия в случае захвата потребует Власть по размеру атакованного города"&amp;IF(A84&gt;1," x"&amp;A84,"")&amp;");"</f>
        <v>нападения на города других наций (1 Власть за каждую атаку; аннексия в случае захвата потребует Власть по размеру атакованного города);</v>
      </c>
      <c r="B91" s="227" t="str">
        <f t="shared" si="11"/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последующий)[/li][li]апгрейд войск (устаревших войск нации: 7. Стоимость в монетах указана в ростете войск)[/li][li]восстановление войск (уничтоженных войск нации: 29.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</v>
      </c>
      <c r="C91" s="81"/>
      <c r="D91" s="227" t="str">
        <f t="shared" ca="1" si="12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(0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железо, мрамор, 2x камень, медь, 2x зерно, кофе, 2x золото[/li][li]использование собранных молотков для создания новых войск. Доступны: Ватага (пехотное, 2Мл), Рыцари (мобильное, 4Мл), Копейщики (заградит., 2Мл), РЗО (поддержка, 8Мл), Реактивные самолеты (авиация, 8Мл)[/li][li]возведение и улучшение (апгрейд) построек и заявленных Чудес света. Доступны для строительства: завод (производство, цена 8Мл), базар (торговля, цена 4Мл), библиотека (наука, цена 2Мл), арсенал (оборона, цена 4Мл), стены (укрепления, цена 4Мл) (каждая постройка после первой требует 1 Власти)[/li]</v>
      </c>
      <c r="E91" s="227" t="s">
        <v>37</v>
      </c>
      <c r="F91" s="223"/>
      <c r="G91" s="227" t="s">
        <v>37</v>
      </c>
      <c r="H91" s="223" t="str">
        <f>F89</f>
        <v>[u]Справочно[/u]:</v>
      </c>
      <c r="I91" s="227" t="s">
        <v>37</v>
      </c>
    </row>
    <row r="92" spans="1:9" s="227" customFormat="1" x14ac:dyDescent="0.25">
      <c r="A92" s="81" t="str">
        <f>"изучение технологий, имеется "&amp;VLOOKUP(A82,Нации!B$3:H$10,7,0)&amp;" очков науки (цена технологии зависит от эпохи: 2/5/10/20/30, 2я и последующие техи требуют +2 Власти)"</f>
        <v>изучение технологий, имеется 0 очков науки (цена технологии зависит от эпохи: 2/5/10/20/30, 2я и последующие техи требуют +2 Власти)</v>
      </c>
      <c r="B92" s="227" t="str">
        <f t="shared" si="11"/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последующий)[/li][li]апгрейд войск (устаревших войск нации: 7. Стоимость в монетах указана в ростете войск)[/li][li]восстановление войск (уничтоженных войск нации: 29.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0 очков науки (цена технологии зависит от эпохи: 2/5/10/20/30, 2я и последующие техи требуют +2 Власти)[/li]</v>
      </c>
      <c r="C92" s="81" t="s">
        <v>37</v>
      </c>
      <c r="E92" s="227" t="s">
        <v>37</v>
      </c>
      <c r="F92" s="223" t="str">
        <f ca="1">"[u]Известные технологии:[/u]"&amp;VLOOKUP(A82,Нации!B$3:AH$10,33,0)</f>
        <v xml:space="preserve">[u]Известные технологии:[/u][br]Технологии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[br]Технологии будущего (2): Технология будущего 1; Технология будущего 2; </v>
      </c>
      <c r="G92" s="227" t="s">
        <v>37</v>
      </c>
      <c r="H92" s="223"/>
      <c r="I92" s="227" t="s">
        <v>37</v>
      </c>
    </row>
    <row r="93" spans="1:9" s="227" customFormat="1" x14ac:dyDescent="0.25">
      <c r="A93" s="81" t="str">
        <f>"изменение формы правления (за "&amp;HLOOKUP(A82,Наука!D$1:K$53,53,0)*A84&amp;" Власт"&amp;IF(HLOOKUP(A82,Наука!D$1:K$53,53,0)*A84=1,"ь","и")&amp;", если не открывается в этот ход). Доступны: "&amp;HLOOKUP(A82,Наука!D$1:K$109,109,0)</f>
        <v>изменение формы правления (за 5 Власти, если не открывается в этот ход). Доступны: деспотизм, республика, теократия, федерация, тоталитаризм</v>
      </c>
      <c r="B93" s="227" t="str">
        <f t="shared" si="11"/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последующий)[/li][li]апгрейд войск (устаревших войск нации: 7. Стоимость в монетах указана в ростете войск)[/li][li]восстановление войск (уничтоженных войск нации: 29.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0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теократия, федерация, тоталитаризм[/li]</v>
      </c>
      <c r="C93" s="81" t="s">
        <v>37</v>
      </c>
      <c r="E93" s="227" t="s">
        <v>37</v>
      </c>
      <c r="F93" s="223"/>
      <c r="G93" s="227" t="s">
        <v>37</v>
      </c>
      <c r="H93" s="223" t="str">
        <f ca="1">F92</f>
        <v xml:space="preserve">[u]Известные технологии:[/u][br]Технологии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[br]Технологии будущего (2): Технология будущего 1; Технология будущего 2; </v>
      </c>
      <c r="I93" s="227" t="s">
        <v>37</v>
      </c>
    </row>
    <row r="94" spans="1:9" s="227" customFormat="1" x14ac:dyDescent="0.25">
      <c r="A94" s="81" t="str">
        <f>"объявление, какой город планирует строить какое Чудо света (не обязательно)"</f>
        <v>объявление, какой город планирует строить какое Чудо света (не обязательно)</v>
      </c>
      <c r="B94" s="227" t="str">
        <f t="shared" si="11"/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последующий)[/li][li]апгрейд войск (устаревших войск нации: 7. Стоимость в монетах указана в ростете войск)[/li][li]восстановление войск (уничтоженных войск нации: 29.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0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теократия, федерация, тоталитаризм[/li][li]объявление, какой город планирует строить какое Чудо света (не обязательно)[/li]</v>
      </c>
      <c r="C94" s="81" t="s">
        <v>37</v>
      </c>
      <c r="E94" s="227" t="s">
        <v>37</v>
      </c>
      <c r="F94" s="223" t="str">
        <f ca="1">"[u]Города[/u]:[spoiler]Максимальное население (нас.) города: "&amp;HLOOKUP(A82,Наука!D$1:K$57,57,0)&amp;VLOOKUP(A82,Нации!B$3:BA$10,34,0)&amp;"[br]* Доступные постройки: "&amp;HLOOKUP(A82,Наука!D$1:K$76,76,0)&amp;"[br][quote]Доход от обработки хексов:"&amp;VLOOKUP(A82,Нации!B$3:AJ$10,35,0)&amp;"[/quote][/spoiler]"</f>
        <v>[u]Города[/u]:[spoiler]Максимальное население (нас.) города: 5[br][b]Медая[/b]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+3).[br]* Доступные постройки: завод (производство, цена 8Мл), базар (торговля, цена 4Мл), библиотека (наука, цена 2Мл), арсенал (оборона, цена 4Мл), стены (укрепления, цена 4Мл)[br][quote]Доход от обработки хексов:[ul][li]холмы: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 - не обрабатываются[/li][/quote][/spoiler]</v>
      </c>
      <c r="G94" s="227" t="s">
        <v>37</v>
      </c>
      <c r="H94" s="223"/>
      <c r="I94" s="227" t="s">
        <v>37</v>
      </c>
    </row>
    <row r="95" spans="1:9" s="227" customFormat="1" x14ac:dyDescent="0.25">
      <c r="A95" s="81" t="str">
        <f>"дипломатический обмен. "&amp;IF(HLOOKUP(A82,Наука!D$1:K$99,99,0)&lt;&gt;"","Вы можете инициировать обмен и обменивать "&amp;HLOOKUP(A82,Наука!D$1:K$99,99,0)&amp;".","Вы не можете инициировать обмен.")</f>
        <v>дипломатический обмен. Вы можете инициировать обмен и обменивать ресурсы, монеты, Власть.</v>
      </c>
      <c r="B95" s="227" t="str">
        <f t="shared" si="11"/>
        <v>[u]Доступные действия[/u] (резолв производится строго в указанном порядке): [ul][li]разведка (1 Власть). Допустимая дистанция движения: 6 (по воде: 10)[/li][li]шпионаж (1 Власть за каждого активного шпиона)[/li][li]основание нового города (8 Власть, +1 за каждый последующий)[/li][li]апгрейд войск (устаревших войск нации: 7. Стоимость в монетах указана в ростете войск)[/li][li]восстановление войск (уничтоженных войск нации: 29. Стоимость в монетах указана в ростере войск)[/li][li]реорганизация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0 очков науки (цена технологии зависит от эпохи: 2/5/10/20/30, 2я и последующие техи требуют +2 Власти)[/li][li]изменение формы правления (за 5 Власти, если не открывается в этот ход). Доступны: деспотизм, республика, теократия, федерация, тоталитаризм[/li][li]объявление, какой город планирует строить какое Чудо света (не обязательно)[/li][li]дипломатический обмен. Вы можете инициировать обмен и обменивать ресурсы, монеты, Власть.[/li]</v>
      </c>
      <c r="C95" s="81" t="s">
        <v>37</v>
      </c>
      <c r="E95" s="227" t="s">
        <v>37</v>
      </c>
      <c r="F95" s="223" t="str">
        <f ca="1">"[u]Войска[/u]:[spoiler]Максимум войск в армии:"&amp;HLOOKUP(A82,Наука!D$1:K$58,58,0)&amp;VLOOKUP(A82,Нации!B$3:BA$10,32,0)&amp;"[br]Доступные нации типы войск: "&amp;HLOOKUP(A82,Наука!D$1:K$89,89,0)&amp;"[/spoiler]"</f>
        <v>[u]Войска[/u]:[spoiler]Максимум войск в армии:5[br][strike]1. 1е РСЗО (поддержка 4 ур.)[/strike] (цена реорганизации: 8)[br]2. 1я эскадрилья (авиация 4 ур.)[br][strike]3. 2е РСЗО (поддержка 4 ур.)[/strike] (цена реорганизации: 8)[br][strike]4. 8я эскадрилья (авиация 4 ур.)[/strike] (цена реорганизации: 8)[br][strike]5. 8я ватага (пехотное 1 ур.)[/strike] (цена реорганизации: 2)[br][strike]6.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8)[br]Доступные нации типы войск: Ватага (пехотное, 2Мл), Рыцари (мобильное, 4Мл), Копейщики (заградит., 2Мл), РЗО (поддержка, 8Мл), Реактивные самолеты (авиация, 8Мл)[/spoiler]</v>
      </c>
      <c r="G95" s="235" t="s">
        <v>37</v>
      </c>
      <c r="H95" s="223" t="str">
        <f>"[u]Войска[/u]:[spoiler]Максимум войск в армии:"&amp;HLOOKUP(A82,Наука!D$1:K$58,58,0)&amp;VLOOKUP(A82,Нации!B$3:BA$10,32,0)&amp;"[/spoiler]"</f>
        <v>[u]Войска[/u]:[spoiler]Максимум войск в армии:5[br][strike]1. 1е РСЗО (поддержка 4 ур.)[/strike] (цена реорганизации: 8)[br]2. 1я эскадрилья (авиация 4 ур.)[br][strike]3. 2е РСЗО (поддержка 4 ур.)[/strike] (цена реорганизации: 8)[br][strike]4. 8я эскадрилья (авиация 4 ур.)[/strike] (цена реорганизации: 8)[br][strike]5. 8я ватага (пехотное 1 ур.)[/strike] (цена реорганизации: 2)[br][strike]6.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8)[/spoiler]</v>
      </c>
      <c r="I95" s="227" t="s">
        <v>37</v>
      </c>
    </row>
    <row r="96" spans="1:9" s="220" customFormat="1" ht="15.75" thickBot="1" x14ac:dyDescent="0.3">
      <c r="A96" s="220" t="str">
        <f>Нации!B9</f>
        <v>Египет</v>
      </c>
      <c r="E96" s="227" t="s">
        <v>37</v>
      </c>
      <c r="F96" s="224" t="s">
        <v>323</v>
      </c>
      <c r="G96" s="227" t="s">
        <v>37</v>
      </c>
      <c r="H96" s="224" t="s">
        <v>323</v>
      </c>
      <c r="I96" s="227" t="s">
        <v>37</v>
      </c>
    </row>
    <row r="97" spans="1:9" s="227" customFormat="1" x14ac:dyDescent="0.25">
      <c r="A97" s="81" t="str">
        <f>VLOOKUP(A96,Нации!B$3:E$10,4,0)</f>
        <v>демократия</v>
      </c>
      <c r="C97" s="81"/>
      <c r="E97" s="227" t="s">
        <v>37</v>
      </c>
      <c r="F97" s="222" t="str">
        <f>"[private="""&amp;VLOOKUP(A96,Нации!B$3:D$10,3,0)&amp;"""]Нация: "&amp;A96&amp;" (форма правления: "&amp;A97&amp;")"</f>
        <v>[private="Микерин"]Нация: Египет (форма правления: демократия)</v>
      </c>
      <c r="G97" s="227" t="s">
        <v>37</v>
      </c>
      <c r="H97" s="223" t="str">
        <f>F97</f>
        <v>[private="Микерин"]Нация: Египет (форма правления: демократия)</v>
      </c>
      <c r="I97" s="227" t="s">
        <v>37</v>
      </c>
    </row>
    <row r="98" spans="1:9" s="227" customFormat="1" x14ac:dyDescent="0.25">
      <c r="A98" s="81">
        <f>VLOOKUP(A97,База!B$30:Q$38,16,0)</f>
        <v>1</v>
      </c>
      <c r="C98" s="81"/>
      <c r="E98" s="227" t="s">
        <v>37</v>
      </c>
      <c r="F98" s="223"/>
      <c r="G98" s="227" t="s">
        <v>37</v>
      </c>
      <c r="H98" s="223"/>
      <c r="I98" s="227" t="s">
        <v>37</v>
      </c>
    </row>
    <row r="99" spans="1:9" s="227" customFormat="1" x14ac:dyDescent="0.25">
      <c r="A99" s="81" t="str">
        <f>"разведка ("&amp;1*A98&amp;" Власт"&amp;CHOOSE(A98,"ь","и")&amp;"). Допустимая дистанция движения: "&amp;HLOOKUP(A96,Наука!D$1:K$56,56,0)&amp;" (по воде: "&amp;HLOOKUP(A96,Наука!D$1:K$59,59,0)&amp;")"</f>
        <v>разведка (1 Власть). Допустимая дистанция движения: 5 (по воде: 6)</v>
      </c>
      <c r="B99" s="227" t="str">
        <f>"[u]Доступные действия[/u] (резолв производится строго в указанном порядке): [ul]"&amp;IF(A99&lt;&gt;"","[li]"&amp;A99&amp;"[/li]","")</f>
        <v>[u]Доступные действия[/u] (резолв производится строго в указанном порядке): [ul][li]разведка (1 Власть). Допустимая дистанция движения: 5 (по воде: 6)[/li]</v>
      </c>
      <c r="C99" s="81" t="str">
        <f>"[u]Доступные действия[/u] (резолв производится для каждого активированного города последовательно, строго в указанном порядке): [ul]"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D99" s="227" t="str">
        <f>C99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E99" s="227" t="s">
        <v>37</v>
      </c>
      <c r="F99" s="223" t="str">
        <f>"[br]Власть: "&amp;VLOOKUP(A96,Нации!B$3:G$10,6,0)+VLOOKUP(A96,Нации!B$3:AA$10,26,0)&amp;" (в начале хода получено "&amp;VLOOKUP(A96,Нации!B$3:AA$10,26,0)&amp;" Власти"&amp;IF(VLOOKUP(A96,Нации!B$3:AA$10,26,0)&gt;2,", в т.ч."&amp;IF(VLOOKUP(A96,Нации!B$3:AD$10,27,0)&gt;0," +"&amp;VLOOKUP(A96,Нации!B$3:AD$10,27,0)&amp;" (форма правления)","")&amp;IF(VLOOKUP(A96,Нации!B$3:AD$10,28,0)&gt;0," +"&amp;VLOOKUP(A96,Нации!B$3:AD$10,28,0)&amp;" (Чудеса света)","")&amp;IF(VLOOKUP(A96,Нации!B$3:AD$10,29,0)&gt;0," +"&amp;VLOOKUP(A96,Нации!B$3:AD$10,29,0)&amp;" (технологии)",""),"")&amp;"); Монеты: "&amp;VLOOKUP(A96,Нации!B$3:I$10,8,0)</f>
        <v>[br]Власть: 11 (в начале хода получено 7 Власти, в т.ч. +2 (форма правления) +3 (технологии)); Монеты: 66</v>
      </c>
      <c r="G99" s="227" t="s">
        <v>37</v>
      </c>
      <c r="H99" s="223" t="str">
        <f>"Власть: "&amp;VLOOKUP(A96,Нации!B$3:G$10,6,0)&amp;"; Казна: "&amp;VLOOKUP(A96,Нации!B$3:L$10,8,0)&amp;" монет; Очки науки (справочно): "&amp;VLOOKUP(A96,Нации!B$3:H$10,7,0)</f>
        <v>Власть: 4; Казна: 66 монет; Очки науки (справочно): 7</v>
      </c>
      <c r="I99" s="227" t="s">
        <v>37</v>
      </c>
    </row>
    <row r="100" spans="1:9" s="227" customFormat="1" x14ac:dyDescent="0.25">
      <c r="A100" s="81" t="str">
        <f>IF(HLOOKUP(A96,Наука!D$1:K$61,61,0)&gt;0,"шпионаж (1 Власть за каждого активного шпиона)","")</f>
        <v>шпионаж (1 Власть за каждого активного шпиона)</v>
      </c>
      <c r="B100" s="227" t="str">
        <f t="shared" ref="B100:B109" si="13">B99&amp;IF(A100&lt;&gt;"","[li]"&amp;A100&amp;"[/li]","")</f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</v>
      </c>
      <c r="C100" s="81" t="str">
        <f>"активация города ("&amp;VLOOKUP(A97,База!B$30:G$38,6,0)&amp;" Власти каждый) и получение его базовых ресурсов"</f>
        <v>активация города (1 Власти каждый) и получение его базовых ресурсов</v>
      </c>
      <c r="D100" s="227" t="str">
        <f>D99&amp;IF(C100&lt;&gt;"","[li]"&amp;C100&amp;"[/li]","")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</v>
      </c>
      <c r="E100" s="227" t="s">
        <v>37</v>
      </c>
      <c r="F100" s="223" t="str">
        <f>B109</f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(3 Власть за каждую атаку; аннексия в случае захвата потребует Власть по размеру атакованного города);[/li][li]изучение технологий, имеется 7 очков науки (цена технологии зависит от эпохи: 2/5/10/20/30, 2я и последующие техи требуют +2 Власти)[/li][li]изменение формы правления (за 3 Власти, если не открывается в этот ход). Доступны: деспотизм, республика, античная демократия, теократия, демократия, федерация[/li][li]объявление,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монеты, Власть.[/li]</v>
      </c>
      <c r="G100" s="227" t="s">
        <v>37</v>
      </c>
      <c r="H100" s="223" t="str">
        <f ca="1">"[u]Города[/u]: (максимальное население (нас.) города: "&amp;HLOOKUP(A96,Наука!D$1:K$57,57,0)&amp;")."&amp;VLOOKUP(A96,Нации!B$3:BA$10,34,0)&amp;"[br][br][quote]Доход от обработки хексов:"&amp;VLOOKUP(A96,Нации!B$3:AJ$10,35,0)</f>
        <v>[u]Города[/u]: (максимальное население (нас.) города: 4).[br][b]Гиза[/b]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ОН)[br][br][quote]Доход от обработки хексов:[ul][li]холмы: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нас.)[/li][li]джунгли: ЛИБО (+2 Мл; +1 Мн) ЛИБО (+1 Мл; +4 Мн) ЛИБО (+1 Мл; +1 Мн; +1 ОН) ЛИБО (+1 нас.)[/li][li]пустыни: ЛИБО (+1 Мл; +1 Мн) ЛИБО (+4 Мн) ЛИБО (+1 Мн; +1 ОН)[/li][li]арктика: ЛИБО (+1 Мл; +1 Мн) ЛИБО (+4 Мн) ЛИБО (+1 Мн; +1 ОН)[/li][li]моря и океаны: ЛИБО (+1 Мл; +2 Мн) ЛИБО (+5 Мн) ЛИБО (+2 Мн; +1 ОН)[/li][li]горы: ЛИБО (+1 Мл; +2 Мн) ЛИБО (+5 Мн) ЛИБО (+2 Мн; +1 ОН)[/li]</v>
      </c>
      <c r="I100" s="227" t="s">
        <v>37</v>
      </c>
    </row>
    <row r="101" spans="1:9" s="227" customFormat="1" x14ac:dyDescent="0.25">
      <c r="A101" s="81" t="str">
        <f>"основание нового города ("&amp;VLOOKUP(A96,Нации!B$3:J$10,9,0)*A98&amp;" Власт"&amp;IF(A98=1,"ь","и")&amp;", +1 за каждый последующий)"</f>
        <v>основание нового города (3 Власть, +1 за каждый последующий)</v>
      </c>
      <c r="B101" s="227" t="str">
        <f t="shared" si="13"/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</v>
      </c>
      <c r="C101" s="81" t="str">
        <f>"распределение жителей на хексы рядом с городом для получения "&amp;База!$L$2&amp;", "&amp;База!$L$3&amp;", "&amp;База!$L$4&amp;" или для роста населения (1 житель на 1 хекс)"</f>
        <v>распределение жителей на хексы рядом с городом для получения Мл, Мн, ОН или для роста населения (1 житель на 1 хекс)</v>
      </c>
      <c r="D101" s="227" t="str">
        <f t="shared" ref="D101:D105" si="14">D100&amp;IF(C101&lt;&gt;"","[li]"&amp;C101&amp;"[/li]","")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</v>
      </c>
      <c r="E101" s="227" t="s">
        <v>37</v>
      </c>
      <c r="F101" s="223" t="s">
        <v>401</v>
      </c>
      <c r="G101" s="227" t="s">
        <v>37</v>
      </c>
      <c r="H101" s="223" t="s">
        <v>402</v>
      </c>
      <c r="I101" s="227" t="s">
        <v>37</v>
      </c>
    </row>
    <row r="102" spans="1:9" s="227" customFormat="1" x14ac:dyDescent="0.25">
      <c r="A102" s="81" t="str">
        <f>IF(HLOOKUP(A96,Армии!B$1:AG$65,64,0),"апгрейд войск (устаревших войск нации: "&amp;HLOOKUP(A96,Армии!B$1:AG$65,64,0)&amp;". Стоимость в монетах указана в ростете войск)","")</f>
        <v/>
      </c>
      <c r="B102" s="227" t="str">
        <f t="shared" si="13"/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</v>
      </c>
      <c r="C102" s="81" t="str">
        <f>"заявка на использование городом ресурса (1 город может за ход использовать только 1 ресурс в ход). В наличии: "&amp;VLOOKUP(A96,Нации!B$3:AK$10,36,0)</f>
        <v>заявка на использование городом ресурса (1 город может за ход использовать только 1 ресурс в ход). В наличии: мрамор, камень, медь, зерно</v>
      </c>
      <c r="D102" s="227" t="str">
        <f t="shared" si="14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камень, медь, зерно[/li]</v>
      </c>
      <c r="E102" s="227" t="s">
        <v>37</v>
      </c>
      <c r="F102" s="223"/>
      <c r="G102" s="227" t="s">
        <v>37</v>
      </c>
      <c r="H102" s="223"/>
      <c r="I102" s="227" t="s">
        <v>37</v>
      </c>
    </row>
    <row r="103" spans="1:9" s="227" customFormat="1" x14ac:dyDescent="0.25">
      <c r="A103" s="81" t="str">
        <f>IF(HLOOKUP(A96,Армии!B$1:AG$65,65,0),"восстановление войск (уничтоженных войск нации: "&amp;HLOOKUP(A96,Армии!B$1:AG$65,65,0)&amp;". Стоимость в монетах указана в ростере войск)","")</f>
        <v/>
      </c>
      <c r="B103" s="227" t="str">
        <f t="shared" si="13"/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</v>
      </c>
      <c r="C103" s="81" t="str">
        <f ca="1">"использование собранных молотков для создания новых войск. Доступны: "&amp;HLOOKUP(A96,Наука!D$1:K$89,89,0)</f>
        <v>использование собранных молотков для создания новых войск. Доступны: Аркебузеры (пехотное, 6Мл), Копейщики (заградит., 2Мл), Арбалетчики (поддержка, 4Мл), Бипланы (авиация, 6Мл)</v>
      </c>
      <c r="D103" s="227" t="str">
        <f t="shared" ca="1" si="14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камень, медь, зерно[/li][li]использование собранных молотков для создания новых войск. Доступны: Аркебузеры (пехотное, 6Мл), Копейщики (заградит., 2Мл), Арбалетчики (поддержка, 4Мл), Бипланы (авиация, 6Мл)[/li]</v>
      </c>
      <c r="E103" s="227" t="s">
        <v>37</v>
      </c>
      <c r="F103" s="223" t="s">
        <v>400</v>
      </c>
      <c r="G103" s="227" t="s">
        <v>37</v>
      </c>
      <c r="H103" s="223" t="str">
        <f ca="1">D105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камень, медь, зерно[/li][li]использование собранных молотков для создания новых войск. Доступны: Аркебузеры (пехотное, 6Мл), Копейщики (заградит., 2Мл), Арбалетчики (поддержка, 4Мл), Бипланы (авиация, 6Мл)[/li][li]возведение и улучшение (апгрейд) построек и заявленных Чудес света. Доступны для строительства: мастерская (производство, цена 4Мл), базар (торговля, цена 4Мл), лаборатория (наука, цена 6Мл), казармы (оборона, цена 2Мл), стены (укрепления, цена 4Мл) (каждая постройка после второй требует 1 Власти)[/li]</v>
      </c>
      <c r="I103" s="227" t="s">
        <v>37</v>
      </c>
    </row>
    <row r="104" spans="1:9" s="227" customFormat="1" x14ac:dyDescent="0.25">
      <c r="A104" s="81" t="str">
        <f>"реорганизация армии (изменение последовательности войск в колоде, возможен роспуск войск) ("&amp;A98&amp;" Власт"&amp;CHOOSE(A98,"ь","и")&amp;");"</f>
        <v>реорганизация армии (изменение последовательности войск в колоде, возможен роспуск войск) (1 Власть);</v>
      </c>
      <c r="B104" s="227" t="str">
        <f t="shared" si="13"/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последующий)[/li][li]реорганизация армии (изменение последовательности войск в колоде, возможен роспуск войск) (1 Власть);[/li]</v>
      </c>
      <c r="C104" s="81" t="str">
        <f ca="1">"возведение "&amp;IF(HLOOKUP(A96,Наука!D$1:K$76,76,0)&lt;&gt;"","и улучшение (апгрейд) построек и ","")&amp;"заявленных Чудес света."&amp;IF(HLOOKUP(A96,Наука!D$1:K$76,76,0)&lt;&gt;""," Доступны для строительства: "&amp;HLOOKUP(A96,Наука!D$1:K$76,76,0)&amp;" (каждая постройка после "&amp;IF(VLOOKUP(Наука!$O$57,Наука!$B$1:$J$45,VLOOKUP(Реп2!A96,Нации!$B$3:$C$9,2,0)+2),"первой","второй")&amp;" требует 1 Власти)","")</f>
        <v>возведение и улучшение (апгрейд) построек и заявленных Чудес света. Доступны для строительства: мастерская (производство, цена 4Мл), базар (торговля, цена 4Мл), лаборатория (наука, цена 6Мл), казармы (оборона, цена 2Мл), стены (укрепления, цена 4Мл) (каждая постройка после второй требует 1 Власти)</v>
      </c>
      <c r="D104" s="227" t="str">
        <f t="shared" ca="1" si="14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камень, медь, зерно[/li][li]использование собранных молотков для создания новых войск. Доступны: Аркебузеры (пехотное, 6Мл), Копейщики (заградит., 2Мл), Арбалетчики (поддержка, 4Мл), Бипланы (авиация, 6Мл)[/li][li]возведение и улучшение (апгрейд) построек и заявленных Чудес света. Доступны для строительства: мастерская (производство, цена 4Мл), базар (торговля, цена 4Мл), лаборатория (наука, цена 6Мл), казармы (оборона, цена 2Мл), стены (укрепления, цена 4Мл) (каждая постройка после второй требует 1 Власти)[/li]</v>
      </c>
      <c r="E104" s="227" t="s">
        <v>37</v>
      </c>
      <c r="F104" s="223" t="str">
        <f>"[u]Ресурсы нации:[/u] "&amp;VLOOKUP(A96,Нации!B$3:AK$10,36,0)</f>
        <v>[u]Ресурсы нации:[/u] мрамор, камень, медь, зерно</v>
      </c>
      <c r="G104" s="227" t="s">
        <v>37</v>
      </c>
      <c r="H104" s="223" t="s">
        <v>401</v>
      </c>
      <c r="I104" s="227" t="s">
        <v>37</v>
      </c>
    </row>
    <row r="105" spans="1:9" s="227" customFormat="1" x14ac:dyDescent="0.25">
      <c r="A105" s="81" t="str">
        <f>"нападения на города других наций ("&amp;A98*VLOOKUP(A97,База!B$30:O$38,14,0)&amp;" Власт"&amp;CHOOSE(A98,"ь","и","и")&amp;" за каждую атаку; аннексия в случае захвата потребует Власть по размеру атакованного города"&amp;IF(A98&gt;1," x"&amp;A98,"")&amp;");"</f>
        <v>нападения на города других наций (3 Власть за каждую атаку; аннексия в случае захвата потребует Власть по размеру атакованного города);</v>
      </c>
      <c r="B105" s="227" t="str">
        <f t="shared" si="13"/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(3 Власть за каждую атаку; аннексия в случае захвата потребует Власть по размеру атакованного города);[/li]</v>
      </c>
      <c r="C105" s="81"/>
      <c r="D105" s="227" t="str">
        <f t="shared" ca="1" si="14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мрамор, камень, медь, зерно[/li][li]использование собранных молотков для создания новых войск. Доступны: Аркебузеры (пехотное, 6Мл), Копейщики (заградит., 2Мл), Арбалетчики (поддержка, 4Мл), Бипланы (авиация, 6Мл)[/li][li]возведение и улучшение (апгрейд) построек и заявленных Чудес света. Доступны для строительства: мастерская (производство, цена 4Мл), базар (торговля, цена 4Мл), лаборатория (наука, цена 6Мл), казармы (оборона, цена 2Мл), стены (укрепления, цена 4Мл) (каждая постройка после второй требует 1 Власти)[/li]</v>
      </c>
      <c r="E105" s="227" t="s">
        <v>37</v>
      </c>
      <c r="F105" s="223"/>
      <c r="G105" s="227" t="s">
        <v>37</v>
      </c>
      <c r="H105" s="223" t="str">
        <f>F103</f>
        <v>[u]Справочно[/u]:</v>
      </c>
      <c r="I105" s="227" t="s">
        <v>37</v>
      </c>
    </row>
    <row r="106" spans="1:9" s="227" customFormat="1" x14ac:dyDescent="0.25">
      <c r="A106" s="81" t="str">
        <f>"изучение технологий, имеется "&amp;VLOOKUP(A96,Нации!B$3:H$10,7,0)&amp;" очков науки (цена технологии зависит от эпохи: 2/5/10/20/30, 2я и последующие техи требуют +2 Власти)"</f>
        <v>изучение технологий, имеется 7 очков науки (цена технологии зависит от эпохи: 2/5/10/20/30, 2я и последующие техи требуют +2 Власти)</v>
      </c>
      <c r="B106" s="227" t="str">
        <f t="shared" si="13"/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(3 Власть за каждую атаку; аннексия в случае захвата потребует Власть по размеру атакованного города);[/li][li]изучение технологий, имеется 7 очков науки (цена технологии зависит от эпохи: 2/5/10/20/30, 2я и последующие техи требуют +2 Власти)[/li]</v>
      </c>
      <c r="C106" s="81" t="s">
        <v>37</v>
      </c>
      <c r="E106" s="227" t="s">
        <v>37</v>
      </c>
      <c r="F106" s="223" t="str">
        <f ca="1">"[u]Известные технологии:[/u]"&amp;VLOOKUP(A96,Нации!B$3:AH$10,33,0)</f>
        <v xml:space="preserve">[u]Известные технологии:[/u][br]Технологии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G106" s="227" t="s">
        <v>37</v>
      </c>
      <c r="H106" s="223"/>
      <c r="I106" s="227" t="s">
        <v>37</v>
      </c>
    </row>
    <row r="107" spans="1:9" s="227" customFormat="1" x14ac:dyDescent="0.25">
      <c r="A107" s="81" t="str">
        <f>"изменение формы правления (за "&amp;HLOOKUP(A96,Наука!D$1:K$53,53,0)*A98&amp;" Власт"&amp;IF(HLOOKUP(A96,Наука!D$1:K$53,53,0)*A98=1,"ь","и")&amp;", если не открывается в этот ход). Доступны: "&amp;HLOOKUP(A96,Наука!D$1:K$109,109,0)</f>
        <v>изменение формы правления (за 3 Власти, если не открывается в этот ход). Доступны: деспотизм, республика, античная демократия, теократия, демократия, федерация</v>
      </c>
      <c r="B107" s="227" t="str">
        <f t="shared" si="13"/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(3 Власть за каждую атаку; аннексия в случае захвата потребует Власть по размеру атакованного города);[/li][li]изучение технологий, имеется 7 очков науки (цена технологии зависит от эпохи: 2/5/10/20/30, 2я и последующие техи требуют +2 Власти)[/li][li]изменение формы правления (за 3 Власти, если не открывается в этот ход). Доступны: деспотизм, республика, античная демократия, теократия, демократия, федерация[/li]</v>
      </c>
      <c r="C107" s="81" t="s">
        <v>37</v>
      </c>
      <c r="E107" s="227" t="s">
        <v>37</v>
      </c>
      <c r="F107" s="223"/>
      <c r="G107" s="227" t="s">
        <v>37</v>
      </c>
      <c r="H107" s="223" t="str">
        <f ca="1">F106</f>
        <v xml:space="preserve">[u]Известные технологии:[/u][br]Технологии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I107" s="227" t="s">
        <v>37</v>
      </c>
    </row>
    <row r="108" spans="1:9" s="227" customFormat="1" x14ac:dyDescent="0.25">
      <c r="A108" s="81" t="str">
        <f>"объявление, какой город планирует строить какое Чудо света (не обязательно)"</f>
        <v>объявление, какой город планирует строить какое Чудо света (не обязательно)</v>
      </c>
      <c r="B108" s="227" t="str">
        <f t="shared" si="13"/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(3 Власть за каждую атаку; аннексия в случае захвата потребует Власть по размеру атакованного города);[/li][li]изучение технологий, имеется 7 очков науки (цена технологии зависит от эпохи: 2/5/10/20/30, 2я и последующие техи требуют +2 Власти)[/li][li]изменение формы правления (за 3 Власти, если не открывается в этот ход). Доступны: деспотизм, республика, античная демократия, теократия, демократия, федерация[/li][li]объявление, какой город планирует строить какое Чудо света (не обязательно)[/li]</v>
      </c>
      <c r="C108" s="81" t="s">
        <v>37</v>
      </c>
      <c r="E108" s="227" t="s">
        <v>37</v>
      </c>
      <c r="F108" s="223" t="str">
        <f ca="1">"[u]Города[/u]:[spoiler]Максимальное население (нас.) города: "&amp;HLOOKUP(A96,Наука!D$1:K$57,57,0)&amp;VLOOKUP(A96,Нации!B$3:BA$10,34,0)&amp;"[br]* Доступные постройки: "&amp;HLOOKUP(A96,Наука!D$1:K$76,76,0)&amp;"[br][quote]Доход от обработки хексов:"&amp;VLOOKUP(A96,Нации!B$3:AJ$10,35,0)&amp;"[/quote][/spoiler]"</f>
        <v>[u]Города[/u]:[spoiler]Максимальное население (нас.) города: 4[br][b]Гиза[/b]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ОН)[br]* Доступные постройки: мастерская (производство, цена 4Мл), базар (торговля, цена 4Мл), лаборатория (наука, цена 6Мл), казармы (оборона, цена 2Мл), стены (укрепления, цена 4Мл)[br][quote]Доход от обработки хексов:[ul][li]холмы: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нас.)[/li][li]джунгли: ЛИБО (+2 Мл; +1 Мн) ЛИБО (+1 Мл; +4 Мн) ЛИБО (+1 Мл; +1 Мн; +1 ОН) ЛИБО (+1 нас.)[/li][li]пустыни: ЛИБО (+1 Мл; +1 Мн) ЛИБО (+4 Мн) ЛИБО (+1 Мн; +1 ОН)[/li][li]арктика: ЛИБО (+1 Мл; +1 Мн) ЛИБО (+4 Мн) ЛИБО (+1 Мн; +1 ОН)[/li][li]моря и океаны: ЛИБО (+1 Мл; +2 Мн) ЛИБО (+5 Мн) ЛИБО (+2 Мн; +1 ОН)[/li][li]горы: ЛИБО (+1 Мл; +2 Мн) ЛИБО (+5 Мн) ЛИБО (+2 Мн; +1 ОН)[/li][/quote][/spoiler]</v>
      </c>
      <c r="G108" s="227" t="s">
        <v>37</v>
      </c>
      <c r="H108" s="223"/>
      <c r="I108" s="227" t="s">
        <v>37</v>
      </c>
    </row>
    <row r="109" spans="1:9" s="227" customFormat="1" x14ac:dyDescent="0.25">
      <c r="A109" s="81" t="str">
        <f>"дипломатический обмен. "&amp;IF(HLOOKUP(A96,Наука!D$1:K$99,99,0)&lt;&gt;"","Вы можете инициировать обмен и обменивать "&amp;HLOOKUP(A96,Наука!D$1:K$99,99,0)&amp;".","Вы не можете инициировать обмен.")</f>
        <v>дипломатический обмен. Вы можете инициировать обмен и обменивать города, ресурсы, монеты, Власть.</v>
      </c>
      <c r="B109" s="227" t="str">
        <f t="shared" si="13"/>
        <v>[u]Доступные действия[/u] (резолв производится строго в указанном порядке): [ul][li]разведка (1 Власть). Допустимая дистанция движения: 5 (по воде: 6)[/li][li]шпионаж (1 Власть за каждого активного шпиона)[/li][li]основание нового города (3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(3 Власть за каждую атаку; аннексия в случае захвата потребует Власть по размеру атакованного города);[/li][li]изучение технологий, имеется 7 очков науки (цена технологии зависит от эпохи: 2/5/10/20/30, 2я и последующие техи требуют +2 Власти)[/li][li]изменение формы правления (за 3 Власти, если не открывается в этот ход). Доступны: деспотизм, республика, античная демократия, теократия, демократия, федерация[/li][li]объявление, какой город планирует строить какое Чудо света (не обязательно)[/li][li]дипломатический обмен. Вы можете инициировать обмен и обменивать города, ресурсы, монеты, Власть.[/li]</v>
      </c>
      <c r="C109" s="81" t="s">
        <v>37</v>
      </c>
      <c r="E109" s="227" t="s">
        <v>37</v>
      </c>
      <c r="F109" s="223" t="str">
        <f ca="1">"[u]Войска[/u]:[spoiler]Максимум войск в армии:"&amp;HLOOKUP(A96,Наука!D$1:K$58,58,0)&amp;VLOOKUP(A96,Нации!B$3:BA$10,32,0)&amp;"[br]Доступные нации типы войск: "&amp;HLOOKUP(A96,Наука!D$1:K$89,89,0)&amp;"[/spoiler]"</f>
        <v>[u]Войска[/u]:[spoiler]Максимум войск в армии:3[br]1. ватага (пехотное 3 ур.)[br]2. ватага (пехотное 3 ур.)[br]3. ватага (пехотное 3 ур.)[br]4. верблюжатники (мобильное 1 ур.)[br]5. 4я ватага (пехотное 3 ур.)[br]6. арбалетчики (поддержка 2 ур.)[br]7. 1е копейщики (заградит. 1 ур.)[br]8. 1е бипланы (авиация 3 ур.)[br]Доступные нации типы войск: Аркебузеры (пехотное, 6Мл), Копейщики (заградит., 2Мл), Арбалетчики (поддержка, 4Мл), Бипланы (авиация, 6Мл)[/spoiler]</v>
      </c>
      <c r="G109" s="235" t="s">
        <v>37</v>
      </c>
      <c r="H109" s="223" t="str">
        <f>"[u]Войска[/u]:[spoiler]Максимум войск в армии:"&amp;HLOOKUP(A96,Наука!D$1:K$58,58,0)&amp;VLOOKUP(A96,Нации!B$3:BA$10,32,0)&amp;"[/spoiler]"</f>
        <v>[u]Войска[/u]:[spoiler]Максимум войск в армии:3[br]1. ватага (пехотное 3 ур.)[br]2. ватага (пехотное 3 ур.)[br]3. ватага (пехотное 3 ур.)[br]4. верблюжатники (мобильное 1 ур.)[br]5. 4я ватага (пехотное 3 ур.)[br]6. арбалетчики (поддержка 2 ур.)[br]7. 1е копейщики (заградит. 1 ур.)[br]8. 1е бипланы (авиация 3 ур.)[/spoiler]</v>
      </c>
      <c r="I109" s="227" t="s">
        <v>37</v>
      </c>
    </row>
    <row r="110" spans="1:9" s="220" customFormat="1" ht="15.75" thickBot="1" x14ac:dyDescent="0.3">
      <c r="A110" s="220" t="str">
        <f>Нации!B10</f>
        <v>Зулусы</v>
      </c>
      <c r="E110" s="227" t="s">
        <v>37</v>
      </c>
      <c r="F110" s="225" t="s">
        <v>323</v>
      </c>
      <c r="G110" s="227" t="s">
        <v>37</v>
      </c>
      <c r="H110" s="225" t="s">
        <v>323</v>
      </c>
      <c r="I110" s="227" t="s">
        <v>37</v>
      </c>
    </row>
    <row r="111" spans="1:9" s="82" customFormat="1" hidden="1" x14ac:dyDescent="0.25">
      <c r="A111" s="229" t="str">
        <f>VLOOKUP(A110,Нации!B$3:E$10,4,0)</f>
        <v>деспотизм</v>
      </c>
      <c r="C111" s="229"/>
      <c r="E111" s="227" t="s">
        <v>37</v>
      </c>
      <c r="F111" s="82" t="str">
        <f>"[private="""&amp;VLOOKUP(A110,Нации!B$3:D$10,3,0)&amp;"""]Нация: "&amp;A110&amp;" (форма правления: "&amp;A111&amp;")"</f>
        <v>[private="Чака"]Нация: Зулусы (форма правления: деспотизм)</v>
      </c>
      <c r="G111" s="227" t="s">
        <v>37</v>
      </c>
      <c r="H111" s="82" t="str">
        <f>F111</f>
        <v>[private="Чака"]Нация: Зулусы (форма правления: деспотизм)</v>
      </c>
      <c r="I111" s="227" t="s">
        <v>37</v>
      </c>
    </row>
    <row r="112" spans="1:9" s="82" customFormat="1" hidden="1" x14ac:dyDescent="0.25">
      <c r="A112" s="229">
        <f>VLOOKUP(A111,База!B$30:Q$38,16,0)</f>
        <v>1</v>
      </c>
      <c r="C112" s="229"/>
      <c r="E112" s="227" t="s">
        <v>37</v>
      </c>
      <c r="G112" s="227" t="s">
        <v>37</v>
      </c>
      <c r="I112" s="227" t="s">
        <v>37</v>
      </c>
    </row>
    <row r="113" spans="1:9" s="82" customFormat="1" hidden="1" x14ac:dyDescent="0.25">
      <c r="A113" s="229" t="str">
        <f>"разведка ("&amp;1*A112&amp;" Власт"&amp;CHOOSE(A112,"ь","и")&amp;"). Допустимая дистанция движения: "&amp;HLOOKUP(A110,Наука!D$1:K$56,56,0)&amp;" (по воде: "&amp;HLOOKUP(A110,Наука!D$1:K$59,59,0)&amp;")"</f>
        <v>разведка (1 Власть). Допустимая дистанция движения: 3 (по воде: 0)</v>
      </c>
      <c r="B113" s="82" t="str">
        <f>"[u]Доступные действия[/u] (резолв производится строго в указанном порядке): [ul]"&amp;IF(A113&lt;&gt;"","[li]"&amp;A113&amp;"[/li]","")</f>
        <v>[u]Доступные действия[/u] (резолв производится строго в указанном порядке): [ul][li]разведка (1 Власть). Допустимая дистанция движения: 3 (по воде: 0)[/li]</v>
      </c>
      <c r="C113" s="229" t="str">
        <f>"[u]Доступные действия[/u] (резолв производится для каждого активированного города последовательно, строго в указанном порядке): [ul]"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D113" s="82" t="str">
        <f>C113</f>
        <v>[u]Доступные действия[/u] (резолв производится для каждого активированного города последовательно, строго в указанном порядке): [ul]</v>
      </c>
      <c r="E113" s="227" t="s">
        <v>37</v>
      </c>
      <c r="F113" s="82" t="str">
        <f>"[br]Власть: "&amp;VLOOKUP(A110,Нации!B$3:G$10,6,0)+VLOOKUP(A110,Нации!B$3:AA$10,26,0)&amp;" (в начале хода получено "&amp;VLOOKUP(A110,Нации!B$3:AA$10,26,0)&amp;" Власти"&amp;IF(VLOOKUP(A110,Нации!B$3:AA$10,26,0)&gt;2,", в т.ч."&amp;IF(VLOOKUP(A110,Нации!B$3:AD$10,27,0)&gt;0," +"&amp;VLOOKUP(A110,Нации!B$3:AD$10,27,0)&amp;" (форма правления)","")&amp;IF(VLOOKUP(A110,Нации!B$3:AD$10,28,0)&gt;0," +"&amp;VLOOKUP(A110,Нации!B$3:AD$10,28,0)&amp;" (Чудеса света)","")&amp;IF(VLOOKUP(A110,Нации!B$3:AD$10,29,0)&gt;0," +"&amp;VLOOKUP(A110,Нации!B$3:AD$10,29,0)&amp;" (технологии)",""),"")&amp;"); Монеты: "&amp;VLOOKUP(A110,Нации!B$3:I$10,8,0)</f>
        <v>[br]Власть: 4 (в начале хода получено 2 Власти); Монеты: 0</v>
      </c>
      <c r="G113" s="227" t="s">
        <v>37</v>
      </c>
      <c r="H113" s="82" t="str">
        <f>"Власть: "&amp;VLOOKUP(A110,Нации!B$3:G$10,6,0)&amp;"; Казна: "&amp;VLOOKUP(A110,Нации!B$3:L$10,8,0)&amp;" монет; Очки науки (справочно): "&amp;VLOOKUP(A110,Нации!B$3:H$10,7,0)</f>
        <v>Власть: 2; Казна: 0 монет; Очки науки (справочно): 2</v>
      </c>
      <c r="I113" s="227" t="s">
        <v>37</v>
      </c>
    </row>
    <row r="114" spans="1:9" s="82" customFormat="1" hidden="1" x14ac:dyDescent="0.25">
      <c r="A114" s="229" t="str">
        <f>IF(HLOOKUP(A110,Наука!D$1:K$61,61,0)&gt;0,"шпионаж (1 Власть за каждого активного шпиона)","")</f>
        <v/>
      </c>
      <c r="B114" s="82" t="str">
        <f t="shared" ref="B114:B123" si="15">B113&amp;IF(A114&lt;&gt;"","[li]"&amp;A114&amp;"[/li]","")</f>
        <v>[u]Доступные действия[/u] (резолв производится строго в указанном порядке): [ul][li]разведка (1 Власть). Допустимая дистанция движения: 3 (по воде: 0)[/li]</v>
      </c>
      <c r="C114" s="229" t="str">
        <f>"активация города ("&amp;VLOOKUP(A111,База!B$30:G$38,6,0)&amp;" Власти каждый) и получение его базовых ресурсов"</f>
        <v>активация города (1 Власти каждый) и получение его базовых ресурсов</v>
      </c>
      <c r="D114" s="82" t="str">
        <f>D113&amp;IF(C114&lt;&gt;"","[li]"&amp;C114&amp;"[/li]","")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</v>
      </c>
      <c r="E114" s="227" t="s">
        <v>37</v>
      </c>
      <c r="F114" s="82" t="str">
        <f>B123</f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Власти)[/li][li]изменение формы правления (за 1 Власть, если не открывается в этот ход). Доступны: деспотизм[/li][li]объявление, какой город планирует строить какое Чудо света (не обязательно)[/li][li]дипломатический обмен. Вы не можете инициировать обмен.[/li]</v>
      </c>
      <c r="G114" s="227" t="s">
        <v>37</v>
      </c>
      <c r="H114" s="82" t="str">
        <f ca="1">"[u]Города[/u]: (максимальное население (нас.) города: "&amp;HLOOKUP(A110,Наука!D$1:K$57,57,0)&amp;")."&amp;VLOOKUP(A110,Нации!B$3:BA$10,34,0)&amp;"[br][br][quote]Доход от обработки хексов:"&amp;VLOOKUP(A110,Нации!B$3:AJ$10,35,0)</f>
        <v>[u]Города[/u]: (максимальное население (нас.) города: 2).[br][b]Мгунгундлова[/b] (нас: 1; +2 Мл, +2 Мн, +2 ОН). Постройки: дворец.[br][br][quote]Доход от обработки хексов:[ul][li]холмы: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нас.)[/li][li]джунгли: ЛИБО (+2 Мл) ЛИБО (+1 Мл; +1 Мн) ЛИБО (+1 Мл; +1 ОН) ЛИБО (+1 нас.)[/li][li]пустыни: ЛИБО (+1 Мл) ЛИБО (+1 Мн) ЛИБО (+1 ОН)[/li]</v>
      </c>
      <c r="I114" s="227" t="s">
        <v>37</v>
      </c>
    </row>
    <row r="115" spans="1:9" s="82" customFormat="1" hidden="1" x14ac:dyDescent="0.25">
      <c r="A115" s="229" t="str">
        <f>"основание нового города ("&amp;VLOOKUP(A110,Нации!B$3:J$10,9,0)*A112&amp;" Власт"&amp;CHOOSE(VLOOKUP(A110,Нации!B$3:J$10,9,0)*A112,"ь","и","и","и","и","и","и")&amp;", +1 за каждый последующий)"</f>
        <v>основание нового города (1 Власть, +1 за каждый последующий)</v>
      </c>
      <c r="B115" s="82" t="str">
        <f t="shared" si="15"/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</v>
      </c>
      <c r="C115" s="229" t="str">
        <f>"распределение жителей на хексы рядом с городом для получения "&amp;База!$L$2&amp;", "&amp;База!$L$3&amp;", "&amp;База!$L$4&amp;" или для роста населения (1 житель на 1 хекс)"</f>
        <v>распределение жителей на хексы рядом с городом для получения Мл, Мн, ОН или для роста населения (1 житель на 1 хекс)</v>
      </c>
      <c r="D115" s="82" t="str">
        <f t="shared" ref="D115:D119" si="16">D114&amp;IF(C115&lt;&gt;"","[li]"&amp;C115&amp;"[/li]","")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</v>
      </c>
      <c r="E115" s="227" t="s">
        <v>37</v>
      </c>
      <c r="F115" s="82" t="s">
        <v>401</v>
      </c>
      <c r="G115" s="227" t="s">
        <v>37</v>
      </c>
      <c r="H115" s="82" t="s">
        <v>402</v>
      </c>
      <c r="I115" s="227" t="s">
        <v>37</v>
      </c>
    </row>
    <row r="116" spans="1:9" s="82" customFormat="1" hidden="1" x14ac:dyDescent="0.25">
      <c r="A116" s="229" t="str">
        <f>IF(HLOOKUP(A110,Армии!B$1:AG$65,64,0),"апгрейд войск (устаревших войск нации: "&amp;HLOOKUP(A110,Армии!B$1:AG$65,64,0)&amp;". Стоимость в монетах указана в ростете войск)","")</f>
        <v/>
      </c>
      <c r="B116" s="82" t="str">
        <f t="shared" si="15"/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</v>
      </c>
      <c r="C116" s="229" t="str">
        <f>"заявка на использование городом ресурса (1 город может за ход использовать только 1 ресурс в ход). В наличии: "&amp;VLOOKUP(A110,Нации!B$3:AK$10,36,0)</f>
        <v>заявка на использование городом ресурса (1 город может за ход использовать только 1 ресурс в ход). В наличии: кофе</v>
      </c>
      <c r="D116" s="82" t="str">
        <f t="shared" si="16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кофе[/li]</v>
      </c>
      <c r="E116" s="227" t="s">
        <v>37</v>
      </c>
      <c r="G116" s="227" t="s">
        <v>37</v>
      </c>
      <c r="I116" s="227" t="s">
        <v>37</v>
      </c>
    </row>
    <row r="117" spans="1:9" s="82" customFormat="1" hidden="1" x14ac:dyDescent="0.25">
      <c r="A117" s="229" t="str">
        <f>IF(HLOOKUP(A110,Армии!B$1:AG$65,65,0),"восстановление войск (уничтоженных войск нации: "&amp;HLOOKUP(A110,Армии!B$1:AG$65,65,0)&amp;". Стоимость в монетах указана в ростере войск)","")</f>
        <v/>
      </c>
      <c r="B117" s="82" t="str">
        <f t="shared" si="15"/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</v>
      </c>
      <c r="C117" s="229" t="str">
        <f ca="1">"использование собранных молотков для создания новых войск. Доступны: "&amp;HLOOKUP(A110,Наука!D$1:K$89,89,0)</f>
        <v>использование собранных молотков для создания новых войск. Доступны: Ватага (пехотное, 2Мл), Копейщики (заградит., 2Мл), Лучники (поддержка, 2Мл)</v>
      </c>
      <c r="D117" s="82" t="str">
        <f t="shared" ca="1" si="16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кофе[/li][li]использование собранных молотков для создания новых войск. Доступны: Ватага (пехотное, 2Мл), Копейщики (заградит., 2Мл), Лучники (поддержка, 2Мл)[/li]</v>
      </c>
      <c r="E117" s="227" t="s">
        <v>37</v>
      </c>
      <c r="F117" s="82" t="s">
        <v>400</v>
      </c>
      <c r="G117" s="227" t="s">
        <v>37</v>
      </c>
      <c r="H117" s="82" t="str">
        <f ca="1">D119</f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кофе[/li][li]использование собранных молотков для создания новых войск. Доступны: Ватага (пехотное, 2Мл), Копейщики (заградит., 2Мл), Лучники (поддержка, 2Мл)[/li][li]возведение заявленных Чудес света.[/li]</v>
      </c>
      <c r="I117" s="227" t="s">
        <v>37</v>
      </c>
    </row>
    <row r="118" spans="1:9" s="82" customFormat="1" hidden="1" x14ac:dyDescent="0.25">
      <c r="A118" s="229" t="str">
        <f>"реорганизация армии (изменение последовательности войск в колоде, возможен роспуск войск) ("&amp;A112&amp;" Власт"&amp;CHOOSE(A112,"ь","и")&amp;");"</f>
        <v>реорганизация армии (изменение последовательности войск в колоде, возможен роспуск войск) (1 Власть);</v>
      </c>
      <c r="B118" s="82" t="str">
        <f t="shared" si="15"/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последующий)[/li][li]реорганизация армии (изменение последовательности войск в колоде, возможен роспуск войск) (1 Власть);[/li]</v>
      </c>
      <c r="C118" s="81" t="str">
        <f ca="1">"возведение "&amp;IF(HLOOKUP(A110,Наука!D$1:K$76,76,0)&lt;&gt;"","и улучшение (апгрейд) построек и ","")&amp;"заявленных Чудес света."&amp;IF(HLOOKUP(A110,Наука!D$1:K$76,76,0)&lt;&gt;""," Доступны для строительства: "&amp;HLOOKUP(A110,Наука!D$1:K$76,76,0)&amp;" (каждая постройка после "&amp;IF(VLOOKUP(Наука!$O$57,Наука!$B$1:$J$45,VLOOKUP(Реп2!A110,Нации!$B$3:$C$9,2,0)+2),"первой","второй")&amp;" требует "&amp;A112&amp;" Власти)","")</f>
        <v>возведение заявленных Чудес света.</v>
      </c>
      <c r="D118" s="82" t="str">
        <f t="shared" ca="1" si="16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кофе[/li][li]использование собранных молотков для создания новых войск. Доступны: Ватага (пехотное, 2Мл), Копейщики (заградит., 2Мл), Лучники (поддержка, 2Мл)[/li][li]возведение заявленных Чудес света.[/li]</v>
      </c>
      <c r="E118" s="227" t="s">
        <v>37</v>
      </c>
      <c r="F118" s="82" t="str">
        <f>"[u]Ресурсы нации:[/u] "&amp;VLOOKUP(A110,Нации!B$3:AK$10,36,0)</f>
        <v>[u]Ресурсы нации:[/u] кофе</v>
      </c>
      <c r="G118" s="227" t="s">
        <v>37</v>
      </c>
      <c r="H118" s="82" t="s">
        <v>401</v>
      </c>
      <c r="I118" s="227" t="s">
        <v>37</v>
      </c>
    </row>
    <row r="119" spans="1:9" s="82" customFormat="1" hidden="1" x14ac:dyDescent="0.25">
      <c r="A119" s="229" t="str">
        <f>"нападения на города других наций ("&amp;A112*VLOOKUP(A111,База!B$30:O$38,14,0)&amp;" Власт"&amp;CHOOSE(A112,"ь","и","и")&amp;" за каждую атаку; аннексия в случае захвата потребует Власть по размеру атакованного города"&amp;IF(A112&gt;1," x"&amp;A112,"")&amp;");"</f>
        <v>нападения на города других наций (1 Власть за каждую атаку; аннексия в случае захвата потребует Власть по размеру атакованного города);</v>
      </c>
      <c r="B119" s="82" t="str">
        <f t="shared" si="15"/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</v>
      </c>
      <c r="C119" s="229"/>
      <c r="D119" s="82" t="str">
        <f t="shared" ca="1" si="16"/>
        <v>[u]Доступные действия[/u] (резолв производится для каждого активированного города последовательно, строго в указанном порядке): [ul][li]активация города (1 Власти каждый) и получение его базовых ресурсов[/li][li]распределение жителей на хексы рядом с городом для получения Мл, Мн, ОН или для роста населения (1 житель на 1 хекс)[/li][li]заявка на использование городом ресурса (1 город может за ход использовать только 1 ресурс в ход). В наличии: кофе[/li][li]использование собранных молотков для создания новых войск. Доступны: Ватага (пехотное, 2Мл), Копейщики (заградит., 2Мл), Лучники (поддержка, 2Мл)[/li][li]возведение заявленных Чудес света.[/li]</v>
      </c>
      <c r="E119" s="227" t="s">
        <v>37</v>
      </c>
      <c r="G119" s="227" t="s">
        <v>37</v>
      </c>
      <c r="H119" s="82" t="str">
        <f>F117</f>
        <v>[u]Справочно[/u]:</v>
      </c>
      <c r="I119" s="227" t="s">
        <v>37</v>
      </c>
    </row>
    <row r="120" spans="1:9" s="82" customFormat="1" hidden="1" x14ac:dyDescent="0.25">
      <c r="A120" s="229" t="str">
        <f>"изучение технологий, имеется "&amp;VLOOKUP(A110,Нации!B$3:H$10,7,0)&amp;" очков науки (цена технологии зависит от эпохи: 2/5/10/20/30, 2я и последующие техи требуют +2 Власти)"</f>
        <v>изучение технологий, имеется 2 очков науки (цена технологии зависит от эпохи: 2/5/10/20/30, 2я и последующие техи требуют +2 Власти)</v>
      </c>
      <c r="B120" s="82" t="str">
        <f t="shared" si="15"/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</v>
      </c>
      <c r="C120" s="229" t="s">
        <v>37</v>
      </c>
      <c r="E120" s="227" t="s">
        <v>37</v>
      </c>
      <c r="F120" s="82" t="str">
        <f ca="1">"[u]Известные технологии:[/u]"&amp;VLOOKUP(A110,Нации!B$3:AH$10,33,0)</f>
        <v xml:space="preserve">[u]Известные технологии:[/u][br]Технологии древности (1): Охота; </v>
      </c>
      <c r="G120" s="227" t="s">
        <v>37</v>
      </c>
      <c r="I120" s="227" t="s">
        <v>37</v>
      </c>
    </row>
    <row r="121" spans="1:9" s="82" customFormat="1" hidden="1" x14ac:dyDescent="0.25">
      <c r="A121" s="229" t="str">
        <f>"изменение формы правления (за "&amp;HLOOKUP(A110,Наука!D$1:K$53,53,0)*A112&amp;" Власт"&amp;CHOOSE(HLOOKUP(A110,Наука!D$1:K$53,53,0)*A112,"ь","и","и","и","и","и","и")&amp;", если не открывается в этот ход). Доступны: "&amp;HLOOKUP(A110,Наука!D$1:K$109,109,0)</f>
        <v>изменение формы правления (за 1 Власть, если не открывается в этот ход). Доступны: деспотизм</v>
      </c>
      <c r="B121" s="82" t="str">
        <f t="shared" si="15"/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Власти)[/li][li]изменение формы правления (за 1 Власть, если не открывается в этот ход). Доступны: деспотизм[/li]</v>
      </c>
      <c r="C121" s="229" t="s">
        <v>37</v>
      </c>
      <c r="E121" s="227" t="s">
        <v>37</v>
      </c>
      <c r="G121" s="227" t="s">
        <v>37</v>
      </c>
      <c r="H121" s="82" t="str">
        <f ca="1">F120</f>
        <v xml:space="preserve">[u]Известные технологии:[/u][br]Технологии древности (1): Охота; </v>
      </c>
      <c r="I121" s="227" t="s">
        <v>37</v>
      </c>
    </row>
    <row r="122" spans="1:9" s="82" customFormat="1" hidden="1" x14ac:dyDescent="0.25">
      <c r="A122" s="229" t="str">
        <f>"объявление, какой город планирует строить какое Чудо света (не обязательно)"</f>
        <v>объявление, какой город планирует строить какое Чудо света (не обязательно)</v>
      </c>
      <c r="B122" s="82" t="str">
        <f t="shared" si="15"/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Власти)[/li][li]изменение формы правления (за 1 Власть, если не открывается в этот ход). Доступны: деспотизм[/li][li]объявление, какой город планирует строить какое Чудо света (не обязательно)[/li]</v>
      </c>
      <c r="C122" s="229" t="s">
        <v>37</v>
      </c>
      <c r="E122" s="227" t="s">
        <v>37</v>
      </c>
      <c r="F122" s="82" t="str">
        <f ca="1">"[u]Города[/u]:[spoiler]Максимальное население (нас.) города: "&amp;HLOOKUP(A110,Наука!D$1:K$57,57,0)&amp;VLOOKUP(A110,Нации!B$3:BA$10,34,0)&amp;"[br]* Доступные постройки: "&amp;HLOOKUP(A110,Наука!D$1:K$76,76,0)&amp;"[br][quote]Доход от обработки хексов:"&amp;VLOOKUP(A110,Нации!B$3:AJ$10,35,0)&amp;"[/quote][/spoiler]"</f>
        <v>[u]Города[/u]:[spoiler]Максимальное население (нас.) города: 2[br][b]Мгунгундлова[/b] (нас: 1; +2 Мл, +2 Мн, +2 ОН). Постройки: дворец.[br]* Доступные постройки: [br][quote]Доход от обработки хексов:[ul][li]холмы: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нас.)[/li][li]джунгли: ЛИБО (+2 Мл) ЛИБО (+1 Мл; +1 Мн) ЛИБО (+1 Мл; +1 ОН) ЛИБО (+1 нас.)[/li][li]пустыни: ЛИБО (+1 Мл) ЛИБО (+1 Мн) ЛИБО (+1 ОН)[/li][/quote][/spoiler]</v>
      </c>
      <c r="G122" s="227" t="s">
        <v>37</v>
      </c>
      <c r="I122" s="227" t="s">
        <v>37</v>
      </c>
    </row>
    <row r="123" spans="1:9" s="82" customFormat="1" hidden="1" x14ac:dyDescent="0.25">
      <c r="A123" s="229" t="str">
        <f>"дипломатический обмен. "&amp;IF(HLOOKUP(A110,Наука!D$1:K$99,99,0)&lt;&gt;"","Вы можете инициировать обмен и обменивать "&amp;HLOOKUP(A110,Наука!D$1:K$99,99,0)&amp;".","Вы не можете инициировать обмен.")</f>
        <v>дипломатический обмен. Вы не можете инициировать обмен.</v>
      </c>
      <c r="B123" s="82" t="str">
        <f t="shared" si="15"/>
        <v>[u]Доступные действия[/u] (резолв производится строго в указанном порядке): [ul][li]разведка (1 Власть). Допустимая дистанция движения: 3 (по воде: 0)[/li][li]основание нового города (1 Власть, +1 за каждый последующий)[/li][li]реорганизация армии (изменение последовательности войск в колоде, возможен роспуск войск) (1 Власть);[/li][li]нападения на города других наций (1 Власть за каждую атаку; аннексия в случае захвата потребует Власть по размеру атакованного города);[/li][li]изучение технологий, имеется 2 очков науки (цена технологии зависит от эпохи: 2/5/10/20/30, 2я и последующие техи требуют +2 Власти)[/li][li]изменение формы правления (за 1 Власть, если не открывается в этот ход). Доступны: деспотизм[/li][li]объявление, какой город планирует строить какое Чудо света (не обязательно)[/li][li]дипломатический обмен. Вы не можете инициировать обмен.[/li]</v>
      </c>
      <c r="C123" s="229" t="s">
        <v>37</v>
      </c>
      <c r="E123" s="227" t="s">
        <v>37</v>
      </c>
      <c r="F123" s="223" t="str">
        <f ca="1">"[u]Войска[/u]:[spoiler]Максимум войск в армии:"&amp;HLOOKUP(A110,Наука!D$1:K$58,58,0)&amp;VLOOKUP(A110,Нации!B$3:BA$10,32,0)&amp;"[br]Доступные нации типы войск: "&amp;HLOOKUP(A110,Наука!D$1:K$89,89,0)&amp;"[/spoiler]"</f>
        <v>[u]Войска[/u]:[spoiler]Максимум войск в армии:2[br]1. ватага (пехотное 1 ур.)[br]2. ватага (пехотное 1 ур.)[br]Доступные нации типы войск: Ватага (пехотное, 2Мл), Копейщики (заградит., 2Мл), Лучники (поддержка, 2Мл)[/spoiler]</v>
      </c>
      <c r="G123" s="235" t="s">
        <v>37</v>
      </c>
      <c r="H123" s="223" t="str">
        <f>"[u]Войска[/u]:[spoiler]Максимум войск в армии:"&amp;HLOOKUP(A110,Наука!D$1:K$58,58,0)&amp;VLOOKUP(A110,Нации!B$3:BA$10,32,0)&amp;"[/spoiler]"</f>
        <v>[u]Войска[/u]:[spoiler]Максимум войск в армии:2[br]1. ватага (пехотное 1 ур.)[br]2. ватага (пехотное 1 ур.)[/spoiler]</v>
      </c>
      <c r="I123" s="227" t="s">
        <v>37</v>
      </c>
    </row>
    <row r="124" spans="1:9" hidden="1" x14ac:dyDescent="0.25">
      <c r="E124" s="227" t="s">
        <v>37</v>
      </c>
      <c r="F124" s="221" t="s">
        <v>323</v>
      </c>
      <c r="G124" s="227" t="s">
        <v>37</v>
      </c>
      <c r="H124" s="221" t="s">
        <v>323</v>
      </c>
      <c r="I124" s="227" t="s">
        <v>37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5ECCD40-726C-4B61-9646-D63AF37B59C6}">
            <xm:f>(Нации!J3&lt;SUM(Нации!K3:R3))</xm:f>
            <x14:dxf>
              <fill>
                <patternFill>
                  <bgColor rgb="FFFFC000"/>
                </patternFill>
              </fill>
            </x14:dxf>
          </x14:cfRule>
          <xm:sqref>F4:F10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0"/>
  <sheetViews>
    <sheetView topLeftCell="B1" workbookViewId="0">
      <selection activeCell="AN3" sqref="AN3:AN9"/>
    </sheetView>
  </sheetViews>
  <sheetFormatPr defaultRowHeight="15" x14ac:dyDescent="0.25"/>
  <cols>
    <col min="1" max="1" width="0" hidden="1" customWidth="1"/>
    <col min="2" max="2" width="17.7109375" bestFit="1" customWidth="1"/>
    <col min="3" max="3" width="2" bestFit="1" customWidth="1"/>
    <col min="4" max="4" width="15" customWidth="1"/>
    <col min="5" max="5" width="20" customWidth="1"/>
    <col min="6" max="6" width="17.7109375" customWidth="1"/>
    <col min="7" max="7" width="3.7109375" bestFit="1" customWidth="1"/>
    <col min="8" max="8" width="4" bestFit="1" customWidth="1"/>
    <col min="9" max="9" width="3.7109375" bestFit="1" customWidth="1"/>
    <col min="10" max="10" width="3.7109375" customWidth="1"/>
    <col min="11" max="18" width="2.7109375" customWidth="1"/>
    <col min="19" max="25" width="9.140625" hidden="1" customWidth="1"/>
    <col min="26" max="26" width="1.140625" customWidth="1"/>
    <col min="27" max="30" width="3.7109375" customWidth="1"/>
    <col min="31" max="31" width="1" customWidth="1"/>
    <col min="32" max="35" width="5.7109375" customWidth="1"/>
    <col min="36" max="36" width="6.85546875" customWidth="1"/>
    <col min="37" max="37" width="5.7109375" customWidth="1"/>
    <col min="38" max="38" width="3.7109375" bestFit="1" customWidth="1"/>
    <col min="39" max="39" width="3.7109375" style="244" customWidth="1"/>
    <col min="40" max="40" width="3.85546875" customWidth="1"/>
    <col min="41" max="41" width="3.7109375" bestFit="1" customWidth="1"/>
  </cols>
  <sheetData>
    <row r="1" spans="2:41" x14ac:dyDescent="0.25">
      <c r="B1" s="293" t="s">
        <v>17</v>
      </c>
      <c r="C1" s="293"/>
      <c r="D1" s="293"/>
      <c r="E1" s="40"/>
      <c r="F1" s="40"/>
      <c r="G1" s="295" t="s">
        <v>270</v>
      </c>
      <c r="H1" s="295"/>
      <c r="I1" s="295"/>
      <c r="J1" s="92"/>
      <c r="K1" s="294" t="s">
        <v>18</v>
      </c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94"/>
      <c r="AA1" s="290" t="s">
        <v>371</v>
      </c>
      <c r="AB1" s="291"/>
      <c r="AC1" s="291"/>
      <c r="AD1" s="292"/>
      <c r="AE1" s="95"/>
      <c r="AM1" s="243"/>
    </row>
    <row r="2" spans="2:41" s="217" customFormat="1" ht="67.5" x14ac:dyDescent="0.25">
      <c r="B2" s="46" t="s">
        <v>0</v>
      </c>
      <c r="C2" s="46"/>
      <c r="D2" s="46" t="s">
        <v>1</v>
      </c>
      <c r="E2" s="46" t="s">
        <v>26</v>
      </c>
      <c r="F2" s="46" t="s">
        <v>225</v>
      </c>
      <c r="G2" s="44" t="s">
        <v>202</v>
      </c>
      <c r="H2" s="44" t="s">
        <v>169</v>
      </c>
      <c r="I2" s="44" t="s">
        <v>208</v>
      </c>
      <c r="J2" s="44" t="s">
        <v>370</v>
      </c>
      <c r="K2" s="231" t="str">
        <f>База!A2</f>
        <v>железо</v>
      </c>
      <c r="L2" s="231" t="str">
        <f>База!A3</f>
        <v>мрамор</v>
      </c>
      <c r="M2" s="231" t="str">
        <f>База!A4</f>
        <v>камень</v>
      </c>
      <c r="N2" s="231" t="str">
        <f>База!A5</f>
        <v>кони</v>
      </c>
      <c r="O2" s="231" t="str">
        <f>База!A6</f>
        <v>медь</v>
      </c>
      <c r="P2" s="231" t="str">
        <f>База!A7</f>
        <v>зерно</v>
      </c>
      <c r="Q2" s="231" t="str">
        <f>База!A8</f>
        <v>кофе</v>
      </c>
      <c r="R2" s="231" t="str">
        <f>База!A9</f>
        <v>золото</v>
      </c>
      <c r="S2" s="46"/>
      <c r="T2" s="46"/>
      <c r="U2" s="46"/>
      <c r="V2" s="46"/>
      <c r="W2" s="46"/>
      <c r="X2" s="46"/>
      <c r="Y2" s="46"/>
      <c r="Z2" s="211"/>
      <c r="AA2" s="212" t="s">
        <v>372</v>
      </c>
      <c r="AB2" s="213" t="s">
        <v>360</v>
      </c>
      <c r="AC2" s="213" t="s">
        <v>361</v>
      </c>
      <c r="AD2" s="214" t="s">
        <v>379</v>
      </c>
      <c r="AE2" s="215"/>
      <c r="AF2" s="216" t="s">
        <v>388</v>
      </c>
      <c r="AG2" s="216" t="s">
        <v>389</v>
      </c>
      <c r="AH2" s="216" t="s">
        <v>390</v>
      </c>
      <c r="AI2" s="216" t="s">
        <v>277</v>
      </c>
      <c r="AJ2" s="44" t="s">
        <v>395</v>
      </c>
      <c r="AK2" s="44" t="s">
        <v>396</v>
      </c>
      <c r="AL2" s="44" t="s">
        <v>404</v>
      </c>
      <c r="AM2" s="44" t="s">
        <v>457</v>
      </c>
      <c r="AN2" s="44" t="s">
        <v>253</v>
      </c>
      <c r="AO2" s="44" t="s">
        <v>486</v>
      </c>
    </row>
    <row r="3" spans="2:41" x14ac:dyDescent="0.25">
      <c r="B3" s="15" t="s">
        <v>2</v>
      </c>
      <c r="C3" s="15">
        <v>1</v>
      </c>
      <c r="D3" s="15" t="s">
        <v>459</v>
      </c>
      <c r="E3" s="15" t="s">
        <v>34</v>
      </c>
      <c r="F3" s="15" t="str">
        <f ca="1">OFFSET(База!C$1,HLOOKUP(B3,Наука!D$1:K$53,53,0),0)</f>
        <v>Будущее</v>
      </c>
      <c r="G3" s="40">
        <v>0</v>
      </c>
      <c r="H3" s="40">
        <v>12</v>
      </c>
      <c r="I3" s="40">
        <v>35</v>
      </c>
      <c r="J3" s="91">
        <f>COUNTIF(Города!C:C,B3)</f>
        <v>10</v>
      </c>
      <c r="K3" s="232">
        <v>2</v>
      </c>
      <c r="L3" s="232">
        <v>1</v>
      </c>
      <c r="M3" s="232"/>
      <c r="N3" s="232">
        <v>2</v>
      </c>
      <c r="O3" s="232"/>
      <c r="P3" s="232"/>
      <c r="Q3" s="232">
        <v>4</v>
      </c>
      <c r="R3" s="232">
        <v>1</v>
      </c>
      <c r="S3" s="15" t="str">
        <f>IF(K3,IF(K3&gt;1,K3&amp;"x ","")&amp;K$2,"")</f>
        <v>2x железо</v>
      </c>
      <c r="T3" s="15" t="str">
        <f>S3&amp;IF(L3,IF(S3&lt;&gt;"",", ","")&amp;IF(L3&gt;1,L3&amp;"x ","")&amp;L$2,"")</f>
        <v>2x железо, мрамор</v>
      </c>
      <c r="U3" s="15" t="str">
        <f t="shared" ref="U3:Y3" si="0">T3&amp;IF(M3,IF(T3&lt;&gt;"",", ","")&amp;IF(M3&gt;1,M3&amp;"x ","")&amp;M$2,"")</f>
        <v>2x железо, мрамор</v>
      </c>
      <c r="V3" s="15" t="str">
        <f t="shared" si="0"/>
        <v>2x железо, мрамор, 2x кони</v>
      </c>
      <c r="W3" s="15" t="str">
        <f t="shared" si="0"/>
        <v>2x железо, мрамор, 2x кони</v>
      </c>
      <c r="X3" s="15" t="str">
        <f t="shared" si="0"/>
        <v>2x железо, мрамор, 2x кони</v>
      </c>
      <c r="Y3" s="15" t="str">
        <f t="shared" si="0"/>
        <v>2x железо, мрамор, 2x кони, 4x кофе</v>
      </c>
      <c r="Z3" s="96"/>
      <c r="AA3" s="125">
        <f t="shared" ref="AA3:AA10" si="1">2+AB3+AC3+AD3</f>
        <v>8</v>
      </c>
      <c r="AB3" s="80">
        <f>VLOOKUP(E3,База!B$30:D$38,3,0)+VLOOKUP(E3,База!B$30:E$38,4,0)*J3</f>
        <v>2</v>
      </c>
      <c r="AC3" s="15">
        <f>SUMIF(Чудеса!O$2:O$99,1,Чудеса!I$2:I$99)</f>
        <v>0</v>
      </c>
      <c r="AD3" s="15">
        <f>HLOOKUP(B3,Наука!B$1:K$60,60,0)</f>
        <v>4</v>
      </c>
      <c r="AF3" s="15" t="str">
        <f ca="1">"[b]"&amp;B3&amp;".[/b] Лидер нации: "&amp;D3&amp;" (эпоха: "&amp;F3&amp;"; форма правления: "&amp;E3&amp;")[br][ul]"&amp;HLOOKUP(B3,Города!X$3:AE$4,2,0)&amp;"[/ul]"</f>
        <v>[b]Русь.[/b] Лидер нации: Петр Алексеевич (эпоха: Будущее; форма правления: тоталитаризм)[br][ul][li][b]Москва[/b] (нас: 5). Чудо света: Сиднейский театр[/li][li][b]Рим[/b] (нас: 5)[/li][li][b]Пекин[/b] (нас: 5)[/li][li][b]Петербург[/b]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человек.[/ul]</v>
      </c>
      <c r="AG3" s="15" t="str">
        <f>HLOOKUP(B3,Армии!$B$1:$AG$60,60,0)</f>
        <v>[br]1. 1е катюши (поддержка 4 ур.)[br]2. 1й авиаполк (авиация 4 ур.)[br]3. 2е катюши (поддержка 4 ур.)[br]4. 2й авиаполк (авиация 4 ур.)[br]5. 3я катюша (поддержка 4 ур.)[br]6.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H3" s="15" t="str">
        <f ca="1">HLOOKUP(B3,Наука!D$1:K$111,111,0)</f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[br]Технологии будущего (3): Технология будущего 1; Технология будущего 2; Технология будущего 3; </v>
      </c>
      <c r="AI3" s="15" t="str">
        <f ca="1">HLOOKUP(B3,Города!AG$3:AN$4,2,0)</f>
        <v>[br][b]Москва[/b] (нас: 5; +4 Мл, +2 Мн, +5 ОН). Постройки: дворец, мастерская (II), лаборатория (III), казармы (I*), стены (защита +3), Сиднейский театр (Чудо света).[br][b]Рим[/b] (нас: 5; +0 Мл, +0 Мн, +3 ОН). Постройки: лаборатория (III), стены (защита +3).[br][b]Пекин[/b] (нас: 5; +0 Мл, +0 Мн, +0 ОН)[br][b]Петербург[/b]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J3" s="15" t="str">
        <f>HLOOKUP(B3,Наука!D$1:K$176,175,0)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</v>
      </c>
      <c r="AK3" s="15" t="str">
        <f>Y3&amp;IF(R3,IF(Y3&lt;&gt;"",", ","")&amp;IF(R3&gt;1,R3&amp;"x ","")&amp;R$2,"")</f>
        <v>2x железо, мрамор, 2x кони, 4x кофе, золото</v>
      </c>
      <c r="AL3" s="15">
        <f ca="1">VLOOKUP(F3,База!C$2:D$6,2,0)</f>
        <v>5</v>
      </c>
      <c r="AM3" s="242">
        <f>HLOOKUP(B3,Наука!D$1:J$58,58,0)</f>
        <v>8</v>
      </c>
      <c r="AN3" s="249" t="s">
        <v>545</v>
      </c>
      <c r="AO3" s="249">
        <f>SUMIF(Города!C:C,Нации!B3,Города!D:D)</f>
        <v>46</v>
      </c>
    </row>
    <row r="4" spans="2:41" hidden="1" x14ac:dyDescent="0.25">
      <c r="B4" s="15" t="s">
        <v>3</v>
      </c>
      <c r="C4" s="15">
        <v>2</v>
      </c>
      <c r="D4" s="15" t="s">
        <v>305</v>
      </c>
      <c r="E4" s="15" t="s">
        <v>28</v>
      </c>
      <c r="F4" s="15" t="str">
        <f ca="1">OFFSET(База!C$1,HLOOKUP(B4,Наука!D$1:K$53,53,0),0)</f>
        <v>Средневековье</v>
      </c>
      <c r="G4" s="40">
        <v>8</v>
      </c>
      <c r="H4" s="40">
        <v>3</v>
      </c>
      <c r="I4" s="40">
        <v>1</v>
      </c>
      <c r="J4" s="91">
        <f>COUNTIF(Города!C:C,B4)</f>
        <v>0</v>
      </c>
      <c r="K4" s="232"/>
      <c r="L4" s="232">
        <v>1</v>
      </c>
      <c r="M4" s="232">
        <v>1</v>
      </c>
      <c r="N4" s="232"/>
      <c r="O4" s="232"/>
      <c r="P4" s="232"/>
      <c r="Q4" s="232"/>
      <c r="R4" s="232"/>
      <c r="S4" s="15" t="str">
        <f t="shared" ref="S4:S10" si="2">IF(K4,IF(K4&gt;1,K4&amp;"x ","")&amp;K$2,"")</f>
        <v/>
      </c>
      <c r="T4" s="15" t="str">
        <f t="shared" ref="T4:Y4" si="3">S4&amp;IF(L4,IF(S4&lt;&gt;"",", ","")&amp;IF(L4&gt;1,L4&amp;"x ","")&amp;L$2,"")</f>
        <v>мрамор</v>
      </c>
      <c r="U4" s="15" t="str">
        <f t="shared" si="3"/>
        <v>мрамор, камень</v>
      </c>
      <c r="V4" s="15" t="str">
        <f t="shared" si="3"/>
        <v>мрамор, камень</v>
      </c>
      <c r="W4" s="15" t="str">
        <f t="shared" si="3"/>
        <v>мрамор, камень</v>
      </c>
      <c r="X4" s="15" t="str">
        <f t="shared" si="3"/>
        <v>мрамор, камень</v>
      </c>
      <c r="Y4" s="15" t="str">
        <f t="shared" si="3"/>
        <v>мрамор, камень</v>
      </c>
      <c r="Z4" s="96"/>
      <c r="AA4" s="125">
        <f t="shared" si="1"/>
        <v>2</v>
      </c>
      <c r="AB4" s="80">
        <f>VLOOKUP(E4,База!B$30:D$38,3,0)+VLOOKUP(E4,База!B$30:E$38,4,0)*J4</f>
        <v>0</v>
      </c>
      <c r="AC4" s="15">
        <f>SUMIF(Чудеса!P$2:P$99,1,Чудеса!I$2:I$99)</f>
        <v>0</v>
      </c>
      <c r="AD4" s="15">
        <f>HLOOKUP(B4,Наука!B$1:K$60,60,0)</f>
        <v>0</v>
      </c>
      <c r="AF4" s="15" t="str">
        <f ca="1">"[b]"&amp;B4&amp;".[/b] Лидер нации: "&amp;D4&amp;" (эпоха: "&amp;F4&amp;"; форма правления: "&amp;E4&amp;")[br][ul]"&amp;HLOOKUP(B4,Города!X$3:AE$4,2,0)&amp;"[/ul]"</f>
        <v>[b]Римская империя.[/b] Лидер нации: Брут (эпоха: Средневековье; форма правления: республика)[br][ul][br]Всего население (примерно, с учетом агломераций): 000  человек.[/ul]</v>
      </c>
      <c r="AG4" s="15" t="str">
        <f>HLOOKUP(B4,Армии!$B$1:$AG$60,60,0)</f>
        <v>[br][strike]1. ватага (пехотное 1 ур.)[/strike] (цена реорганизации: 2)[br][strike]2. ватага (пехотное 1 ур.)[/strike] (цена реорганизации: 2)[br][strike]3. 1е триарии (заградит. 1 ур.)[/strike] (цена реорганизации: 2) (цена апгрейда: 4)[br][strike]4. 2е триарии (заградит. 1 ур.)[/strike] (цена реорганизации: 2) (цена апгрейда: 4)[br][strike]5. 3и триарии (заградит. 2 ур.)[/strike] (цена реорганизации: 4)[br][strike]6. 4е триарии (заградит. 2 ур.)[/strike] (цена реорганизации: 4)[br]7. 5е триарии (заградит. 2 ур.)[br]8. 6е триарии (заградит. 2 ур.)[br]9. 3я ватага (пехотное 1 ур.)</v>
      </c>
      <c r="AH4" s="15" t="str">
        <f ca="1">HLOOKUP(B4,Наука!D$1:K$111,111,0)</f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AI4" s="15" t="str">
        <f>HLOOKUP(B4,Города!AG$3:AN$4,2,0)</f>
        <v/>
      </c>
      <c r="AJ4" s="15" t="str">
        <f>HLOOKUP(B4,Наука!D$1:K$176,175,0)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Мл) ЛИБО (+1 Мл; +2 Мн) ЛИБО (+1 Мл; +1 ОН) ЛИБО (+1 нас.)[/li][li]пустыни: ЛИБО (+1 Мл) ЛИБО (+2 Мн) ЛИБО (+1 ОН)[/li][li]арктика: ЛИБО (+1 Мл) ЛИБО (+2 Мн) ЛИБО (+1 ОН)[/li][li]моря и океаны - не обрабатываются[/li][li]горы - не обрабатываются[/li]</v>
      </c>
      <c r="AK4" s="15" t="str">
        <f t="shared" ref="AK4:AK10" si="4">Y4&amp;IF(R4,IF(Y4&lt;&gt;"",", ","")&amp;IF(R4&gt;1,R4&amp;"x ","")&amp;R$2,"")</f>
        <v>мрамор, камень</v>
      </c>
      <c r="AL4" s="15">
        <f ca="1">VLOOKUP(F4,База!C$2:D$6,2,0)</f>
        <v>2</v>
      </c>
      <c r="AM4" s="242">
        <f>HLOOKUP(B4,Наука!D$1:J$58,58,0)</f>
        <v>4</v>
      </c>
      <c r="AN4" s="249"/>
      <c r="AO4" s="249">
        <f>SUMIF(Города!C:C,Нации!B4,Города!D:D)</f>
        <v>0</v>
      </c>
    </row>
    <row r="5" spans="2:41" hidden="1" x14ac:dyDescent="0.25">
      <c r="B5" s="15" t="s">
        <v>9</v>
      </c>
      <c r="C5" s="15">
        <v>3</v>
      </c>
      <c r="D5" s="15" t="s">
        <v>306</v>
      </c>
      <c r="E5" s="15" t="s">
        <v>33</v>
      </c>
      <c r="F5" s="15" t="str">
        <f ca="1">OFFSET(База!C$1,HLOOKUP(B5,Наука!D$1:K$53,53,0),0)</f>
        <v>Новое время</v>
      </c>
      <c r="G5" s="40">
        <v>0</v>
      </c>
      <c r="H5" s="40">
        <v>1</v>
      </c>
      <c r="I5" s="40">
        <v>1</v>
      </c>
      <c r="J5" s="91">
        <f>COUNTIF(Города!C:C,B5)</f>
        <v>0</v>
      </c>
      <c r="K5" s="232"/>
      <c r="L5" s="232"/>
      <c r="M5" s="232"/>
      <c r="N5" s="232"/>
      <c r="O5" s="232"/>
      <c r="P5" s="232"/>
      <c r="Q5" s="232"/>
      <c r="R5" s="232"/>
      <c r="S5" s="15" t="str">
        <f t="shared" si="2"/>
        <v/>
      </c>
      <c r="T5" s="15" t="str">
        <f t="shared" ref="T5:Y5" si="5">S5&amp;IF(L5,IF(S5&lt;&gt;"",", ","")&amp;IF(L5&gt;1,L5&amp;"x ","")&amp;L$2,"")</f>
        <v/>
      </c>
      <c r="U5" s="15" t="str">
        <f t="shared" si="5"/>
        <v/>
      </c>
      <c r="V5" s="15" t="str">
        <f t="shared" si="5"/>
        <v/>
      </c>
      <c r="W5" s="15" t="str">
        <f t="shared" si="5"/>
        <v/>
      </c>
      <c r="X5" s="15" t="str">
        <f t="shared" si="5"/>
        <v/>
      </c>
      <c r="Y5" s="15" t="str">
        <f t="shared" si="5"/>
        <v/>
      </c>
      <c r="Z5" s="96"/>
      <c r="AA5" s="125">
        <f t="shared" si="1"/>
        <v>5</v>
      </c>
      <c r="AB5" s="80">
        <f>VLOOKUP(E5,База!B$30:D$38,3,0)+VLOOKUP(E5,База!B$30:E$38,4,0)*J5</f>
        <v>0</v>
      </c>
      <c r="AC5" s="15">
        <f>SUMIF(Чудеса!Q$2:Q$99,1,Чудеса!I$2:I$99)</f>
        <v>0</v>
      </c>
      <c r="AD5" s="15">
        <f>HLOOKUP(B5,Наука!B$1:K$60,60,0)</f>
        <v>3</v>
      </c>
      <c r="AF5" s="15" t="str">
        <f ca="1">"[b]"&amp;B5&amp;".[/b] Лидер нации: "&amp;D5&amp;" (эпоха: "&amp;F5&amp;"; форма правления: "&amp;E5&amp;")[br][ul]"&amp;HLOOKUP(B5,Города!X$3:AE$4,2,0)&amp;"[/ul]"</f>
        <v>[b]Индия.[/b] Лидер нации: अशोक (эпоха: Новое время; форма правления: федерация)[br][ul][br]Всего население (примерно, с учетом агломераций): 000  человек.[/ul]</v>
      </c>
      <c r="AG5" s="15" t="str">
        <f>HLOOKUP(B5,Армии!$B$1:$AG$60,60,0)</f>
        <v>[br][strike]1. 1е пикинеры (заградит. 2 ур.)[/strike] (цена реорганизации: 4)[br][strike]2. 1е рыцари (мобильное 2 ур.)[/strike] (цена реорганизации: 4)[br][strike]3. 2е пикирены (заградит. 2 ур.)[/strike] (цена реорганизации: 4)[br][strike]4. 2е рыцари (мобильное 2 ур.)[/strike] (цена реорганизации: 4)[br][strike]5. 3и рыцари (мобильное 2 ур.)[/strike] (цена реорганизации: 4)[br][strike]6.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</v>
      </c>
      <c r="AH5" s="15" t="str">
        <f ca="1">HLOOKUP(B5,Наука!D$1:K$111,111,0)</f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AI5" s="15" t="str">
        <f>HLOOKUP(B5,Города!AG$3:AN$4,2,0)</f>
        <v/>
      </c>
      <c r="AJ5" s="15" t="str">
        <f>HLOOKUP(B5,Наука!D$1:K$176,175,0)</f>
        <v>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ОН)[/li][li]джунгли: ЛИБО (+2 Мл) ЛИБО (+1 Мл; +1 Мн) ЛИБО (+1 Мл; +1 ОН)[/li][li]пустыни: ЛИБО (+1 Мл) ЛИБО (+1 Мн) ЛИБО (+1 ОН)[/li][li]арктика: ЛИБО (+1 Мл) ЛИБО (+1 Мн) ЛИБО (+1 ОН)[/li][li]моря и океаны: ЛИБО (+1 Мл; +1 Мн) ЛИБО (+2 Мн) ЛИБО (+1 Мн; +1 ОН)[/li][li]горы - не обрабатываются[/li]</v>
      </c>
      <c r="AK5" s="15" t="str">
        <f t="shared" si="4"/>
        <v/>
      </c>
      <c r="AL5" s="15">
        <f ca="1">VLOOKUP(F5,База!C$2:D$6,2,0)</f>
        <v>3</v>
      </c>
      <c r="AM5" s="242">
        <f>HLOOKUP(B5,Наука!D$1:J$58,58,0)</f>
        <v>4</v>
      </c>
      <c r="AN5" s="249">
        <v>3</v>
      </c>
      <c r="AO5" s="249">
        <f>SUMIF(Города!C:C,Нации!B5,Города!D:D)</f>
        <v>0</v>
      </c>
    </row>
    <row r="6" spans="2:41" x14ac:dyDescent="0.25">
      <c r="B6" s="15" t="s">
        <v>5</v>
      </c>
      <c r="C6" s="15">
        <v>4</v>
      </c>
      <c r="D6" s="15" t="s">
        <v>309</v>
      </c>
      <c r="E6" s="15" t="s">
        <v>34</v>
      </c>
      <c r="F6" s="15" t="str">
        <f ca="1">OFFSET(База!C$1,HLOOKUP(B6,Наука!D$1:K$53,53,0),0)</f>
        <v>Будущее</v>
      </c>
      <c r="G6" s="40">
        <v>9</v>
      </c>
      <c r="H6" s="40">
        <v>2</v>
      </c>
      <c r="I6" s="40">
        <v>2</v>
      </c>
      <c r="J6" s="91">
        <f>COUNTIF(Города!C:C,B6)</f>
        <v>2</v>
      </c>
      <c r="K6" s="232"/>
      <c r="L6" s="232"/>
      <c r="M6" s="232">
        <v>1</v>
      </c>
      <c r="N6" s="232">
        <v>1</v>
      </c>
      <c r="O6" s="232"/>
      <c r="P6" s="232"/>
      <c r="Q6" s="232">
        <v>2</v>
      </c>
      <c r="R6" s="232">
        <v>1</v>
      </c>
      <c r="S6" s="15" t="str">
        <f t="shared" si="2"/>
        <v/>
      </c>
      <c r="T6" s="15" t="str">
        <f t="shared" ref="T6:Y6" si="6">S6&amp;IF(L6,IF(S6&lt;&gt;"",", ","")&amp;IF(L6&gt;1,L6&amp;"x ","")&amp;L$2,"")</f>
        <v/>
      </c>
      <c r="U6" s="15" t="str">
        <f t="shared" si="6"/>
        <v>камень</v>
      </c>
      <c r="V6" s="15" t="str">
        <f t="shared" si="6"/>
        <v>камень, кони</v>
      </c>
      <c r="W6" s="15" t="str">
        <f t="shared" si="6"/>
        <v>камень, кони</v>
      </c>
      <c r="X6" s="15" t="str">
        <f t="shared" si="6"/>
        <v>камень, кони</v>
      </c>
      <c r="Y6" s="15" t="str">
        <f t="shared" si="6"/>
        <v>камень, кони, 2x кофе</v>
      </c>
      <c r="Z6" s="96"/>
      <c r="AA6" s="125">
        <f t="shared" si="1"/>
        <v>8</v>
      </c>
      <c r="AB6" s="80">
        <f>VLOOKUP(E6,База!B$30:D$38,3,0)+VLOOKUP(E6,База!B$30:E$38,4,0)*J6</f>
        <v>2</v>
      </c>
      <c r="AC6" s="15">
        <f>SUMIF(Чудеса!R$2:R$99,1,Чудеса!I$2:I$99)</f>
        <v>0</v>
      </c>
      <c r="AD6" s="15">
        <f>HLOOKUP(B6,Наука!B$1:K$60,60,0)</f>
        <v>4</v>
      </c>
      <c r="AF6" s="15" t="str">
        <f ca="1">"[b]"&amp;B6&amp;".[/b] Лидер нации: "&amp;D6&amp;" (эпоха: "&amp;F6&amp;"; форма правления: "&amp;E6&amp;")[br][ul]"&amp;HLOOKUP(B6,Города!X$3:AE$4,2,0)&amp;"[/ul]"</f>
        <v>[b]Великие монголы.[/b] Лидер нации: Борте (эпоха: Будущее; форма правления: тоталитаризм)[br][ul][li][b]Астрахань[/b] (нас: 5)[/li][li][b]Мумбаи[/b] (нас: 1)[/li][br]Всего население (примерно, с учетом агломераций): 3 130 000  человек.[/ul]</v>
      </c>
      <c r="AG6" s="15" t="str">
        <f>HLOOKUP(B6,Армии!$B$1:$AG$60,60,0)</f>
        <v>[br]1. 1е бипланы (авиация 3 ур.)[br]2. 6е бипланы (авиация 3 ур.)[br]3. 7е бипланы (авиация 3 ур.)[br]4. 8е бипланы (авиация 3 ур.)[br]5. 9е бипланы (авиация 3 ур.)[br]6.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H6" s="15" t="str">
        <f ca="1">HLOOKUP(B6,Наука!D$1:K$111,111,0)</f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[br]Технологии будущего (2): Технология будущего 1; Технология будущего 2; </v>
      </c>
      <c r="AI6" s="15" t="str">
        <f ca="1">HLOOKUP(B6,Города!AG$3:AN$4,2,0)</f>
        <v>[br][b]Астрахань[/b] (нас: 5; +0 Мл, +0 Мн, +3 ОН). Постройки: лаборатория (III).[br][b]Мумбаи[/b] (нас: 1; +0 Мл, +0 Мн, +0 ОН)</v>
      </c>
      <c r="AJ6" s="15" t="str">
        <f>HLOOKUP(B6,Наука!D$1:K$176,175,0)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</v>
      </c>
      <c r="AK6" s="15" t="str">
        <f t="shared" si="4"/>
        <v>камень, кони, 2x кофе, золото</v>
      </c>
      <c r="AL6" s="15">
        <f ca="1">VLOOKUP(F6,База!C$2:D$6,2,0)</f>
        <v>5</v>
      </c>
      <c r="AM6" s="242">
        <f>HLOOKUP(B6,Наука!D$1:J$58,58,0)</f>
        <v>6</v>
      </c>
      <c r="AN6" s="249" t="s">
        <v>543</v>
      </c>
      <c r="AO6" s="249">
        <f>SUMIF(Города!C:C,Нации!B6,Города!D:D)</f>
        <v>6</v>
      </c>
    </row>
    <row r="7" spans="2:41" x14ac:dyDescent="0.25">
      <c r="B7" s="15" t="s">
        <v>6</v>
      </c>
      <c r="C7" s="15">
        <v>5</v>
      </c>
      <c r="D7" s="15" t="s">
        <v>316</v>
      </c>
      <c r="E7" s="15" t="s">
        <v>34</v>
      </c>
      <c r="F7" s="15" t="str">
        <f ca="1">OFFSET(База!C$1,HLOOKUP(B7,Наука!D$1:K$53,53,0),0)</f>
        <v>Будущее</v>
      </c>
      <c r="G7" s="40">
        <v>19</v>
      </c>
      <c r="H7" s="40">
        <v>61</v>
      </c>
      <c r="I7" s="40">
        <v>77</v>
      </c>
      <c r="J7" s="91">
        <f>COUNTIF(Города!C:C,B7)</f>
        <v>6</v>
      </c>
      <c r="K7" s="232"/>
      <c r="L7" s="232"/>
      <c r="M7" s="232"/>
      <c r="N7" s="232"/>
      <c r="O7" s="232">
        <v>1</v>
      </c>
      <c r="P7" s="232"/>
      <c r="Q7" s="232">
        <v>1</v>
      </c>
      <c r="R7" s="232">
        <v>3</v>
      </c>
      <c r="S7" s="15" t="str">
        <f t="shared" si="2"/>
        <v/>
      </c>
      <c r="T7" s="15" t="str">
        <f t="shared" ref="T7:Y7" si="7">S7&amp;IF(L7,IF(S7&lt;&gt;"",", ","")&amp;IF(L7&gt;1,L7&amp;"x ","")&amp;L$2,"")</f>
        <v/>
      </c>
      <c r="U7" s="15" t="str">
        <f t="shared" si="7"/>
        <v/>
      </c>
      <c r="V7" s="15" t="str">
        <f t="shared" si="7"/>
        <v/>
      </c>
      <c r="W7" s="15" t="str">
        <f t="shared" si="7"/>
        <v>медь</v>
      </c>
      <c r="X7" s="15" t="str">
        <f t="shared" si="7"/>
        <v>медь</v>
      </c>
      <c r="Y7" s="15" t="str">
        <f t="shared" si="7"/>
        <v>медь, кофе</v>
      </c>
      <c r="Z7" s="96"/>
      <c r="AA7" s="125">
        <f t="shared" si="1"/>
        <v>8</v>
      </c>
      <c r="AB7" s="80">
        <f>VLOOKUP(E7,База!B$30:D$38,3,0)+VLOOKUP(E7,База!B$30:E$38,4,0)*J7</f>
        <v>2</v>
      </c>
      <c r="AC7" s="15">
        <f>SUMIF(Чудеса!S$2:S$99,1,Чудеса!I$2:I$99)</f>
        <v>0</v>
      </c>
      <c r="AD7" s="15">
        <f>HLOOKUP(B7,Наука!B$1:K$60,60,0)</f>
        <v>4</v>
      </c>
      <c r="AF7" s="15" t="str">
        <f ca="1">"[b]"&amp;B7&amp;".[/b] Лидер нации: "&amp;D7&amp;" (эпоха: "&amp;F7&amp;"; форма правления: "&amp;E7&amp;")[br][ul]"&amp;HLOOKUP(B7,Города!X$3:AE$4,2,0)&amp;"[/ul]"</f>
        <v>[b]Поднебесная.[/b] Лидер нации: Юй (эпоха: Будущее; форма правления: тоталитаризм)[br][ul][li][b]Шанхай[/b]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человек.[/ul]</v>
      </c>
      <c r="AG7" s="15" t="str">
        <f>HLOOKUP(B7,Армии!$B$1:$AG$60,60,0)</f>
        <v>[br]1. 11й РСЗО Донгфенг  (поддержка 4 ур.)[br]2. 10я РЭ Дженду J-20 (авиация 4 ур.)[br]3. 2я батарея (поддержка 4 ур.)[br]4. 2й полк Чженду J-20 "Морской орел" (авиация 4 ур.)[br]5. 9я батарея (поддержка 4 ур.)[br]6.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AH7" s="15" t="str">
        <f ca="1">HLOOKUP(B7,Наука!D$1:K$111,111,0)</f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[br]Технологии будущего (2): Технология будущего 1; Технология будущего 2; </v>
      </c>
      <c r="AI7" s="15" t="str">
        <f ca="1">HLOOKUP(B7,Города!AG$3:AN$4,2,0)</f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J7" s="15" t="str">
        <f>HLOOKUP(B7,Наука!D$1:K$176,175,0)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</v>
      </c>
      <c r="AK7" s="15" t="str">
        <f t="shared" si="4"/>
        <v>медь, кофе, 3x золото</v>
      </c>
      <c r="AL7" s="15">
        <f ca="1">VLOOKUP(F7,База!C$2:D$6,2,0)</f>
        <v>5</v>
      </c>
      <c r="AM7" s="242">
        <f>HLOOKUP(B7,Наука!D$1:J$58,58,0)</f>
        <v>7</v>
      </c>
      <c r="AN7" s="249" t="s">
        <v>553</v>
      </c>
      <c r="AO7" s="249">
        <f>SUMIF(Города!C:C,Нации!B7,Города!D:D)</f>
        <v>29</v>
      </c>
    </row>
    <row r="8" spans="2:41" x14ac:dyDescent="0.25">
      <c r="B8" s="15" t="s">
        <v>7</v>
      </c>
      <c r="C8" s="15">
        <v>6</v>
      </c>
      <c r="D8" s="15" t="s">
        <v>307</v>
      </c>
      <c r="E8" s="15" t="s">
        <v>34</v>
      </c>
      <c r="F8" s="15" t="str">
        <f ca="1">OFFSET(База!C$1,HLOOKUP(B8,Наука!D$1:K$53,53,0),0)</f>
        <v>Будущее</v>
      </c>
      <c r="G8" s="40">
        <v>0</v>
      </c>
      <c r="H8" s="40">
        <v>0</v>
      </c>
      <c r="I8" s="40">
        <v>6</v>
      </c>
      <c r="J8" s="91">
        <f>COUNTIF(Города!C:C,B8)</f>
        <v>8</v>
      </c>
      <c r="K8" s="232">
        <v>1</v>
      </c>
      <c r="L8" s="232">
        <v>1</v>
      </c>
      <c r="M8" s="232">
        <v>2</v>
      </c>
      <c r="N8" s="232"/>
      <c r="O8" s="232">
        <v>1</v>
      </c>
      <c r="P8" s="232">
        <v>2</v>
      </c>
      <c r="Q8" s="232">
        <v>1</v>
      </c>
      <c r="R8" s="232">
        <v>2</v>
      </c>
      <c r="S8" s="15" t="str">
        <f t="shared" si="2"/>
        <v>железо</v>
      </c>
      <c r="T8" s="15" t="str">
        <f t="shared" ref="T8:Y8" si="8">S8&amp;IF(L8,IF(S8&lt;&gt;"",", ","")&amp;IF(L8&gt;1,L8&amp;"x ","")&amp;L$2,"")</f>
        <v>железо, мрамор</v>
      </c>
      <c r="U8" s="15" t="str">
        <f t="shared" si="8"/>
        <v>железо, мрамор, 2x камень</v>
      </c>
      <c r="V8" s="15" t="str">
        <f t="shared" si="8"/>
        <v>железо, мрамор, 2x камень</v>
      </c>
      <c r="W8" s="15" t="str">
        <f t="shared" si="8"/>
        <v>железо, мрамор, 2x камень, медь</v>
      </c>
      <c r="X8" s="15" t="str">
        <f t="shared" si="8"/>
        <v>железо, мрамор, 2x камень, медь, 2x зерно</v>
      </c>
      <c r="Y8" s="15" t="str">
        <f t="shared" si="8"/>
        <v>железо, мрамор, 2x камень, медь, 2x зерно, кофе</v>
      </c>
      <c r="Z8" s="96"/>
      <c r="AA8" s="125">
        <f t="shared" si="1"/>
        <v>8</v>
      </c>
      <c r="AB8" s="80">
        <f>VLOOKUP(E8,База!B$30:D$38,3,0)+VLOOKUP(E8,База!B$30:E$38,4,0)*J8</f>
        <v>2</v>
      </c>
      <c r="AC8" s="15">
        <f>SUMIF(Чудеса!T$2:T$99,1,Чудеса!I$2:I$99)</f>
        <v>0</v>
      </c>
      <c r="AD8" s="15">
        <f>HLOOKUP(B8,Наука!B$1:K$60,60,0)</f>
        <v>4</v>
      </c>
      <c r="AF8" s="15" t="str">
        <f ca="1">"[b]"&amp;B8&amp;".[/b] Лидер нации: "&amp;D8&amp;" (эпоха: "&amp;F8&amp;"; форма правления: "&amp;E8&amp;")[br][ul]"&amp;HLOOKUP(B8,Города!X$3:AE$4,2,0)&amp;"[/ul]"</f>
        <v>[b]Индонезия.[/b] Лидер нации: Саладор Сан (эпоха: Будущее; форма правления: тоталитаризм)[br][ul][li][b]Медая[/b]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человек.[/ul]</v>
      </c>
      <c r="AG8" s="15" t="str">
        <f>HLOOKUP(B8,Армии!$B$1:$AG$60,60,0)</f>
        <v>[br][strike]1. 1е РСЗО (поддержка 4 ур.)[/strike] (цена реорганизации: 8)[br]2. 1я эскадрилья (авиация 4 ур.)[br][strike]3. 2е РСЗО (поддержка 4 ур.)[/strike] (цена реорганизации: 8)[br][strike]4. 8я эскадрилья (авиация 4 ур.)[/strike] (цена реорганизации: 8)[br][strike]5. 8я ватага (пехотное 1 ур.)[/strike] (цена реорганизации: 2)[br][strike]6.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AH8" s="15" t="str">
        <f ca="1">HLOOKUP(B8,Наука!D$1:K$111,111,0)</f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[br]Технологии будущего (2): Технология будущего 1; Технология будущего 2; </v>
      </c>
      <c r="AI8" s="15" t="str">
        <f ca="1">HLOOKUP(B8,Города!AG$3:AN$4,2,0)</f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J8" s="15" t="str">
        <f>HLOOKUP(B8,Наука!D$1:K$176,175,0)</f>
        <v>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 - не обрабатываются[/li]</v>
      </c>
      <c r="AK8" s="15" t="str">
        <f t="shared" si="4"/>
        <v>железо, мрамор, 2x камень, медь, 2x зерно, кофе, 2x золото</v>
      </c>
      <c r="AL8" s="15">
        <f ca="1">VLOOKUP(F8,База!C$2:D$6,2,0)</f>
        <v>5</v>
      </c>
      <c r="AM8" s="242">
        <f>HLOOKUP(B8,Наука!D$1:J$58,58,0)</f>
        <v>5</v>
      </c>
      <c r="AN8" s="249" t="s">
        <v>542</v>
      </c>
      <c r="AO8" s="249">
        <f>SUMIF(Города!C:C,Нации!B8,Города!D:D)</f>
        <v>34</v>
      </c>
    </row>
    <row r="9" spans="2:41" x14ac:dyDescent="0.25">
      <c r="B9" s="15" t="s">
        <v>4</v>
      </c>
      <c r="C9" s="15">
        <v>7</v>
      </c>
      <c r="D9" s="15" t="s">
        <v>311</v>
      </c>
      <c r="E9" s="15" t="s">
        <v>32</v>
      </c>
      <c r="F9" s="15" t="str">
        <f ca="1">OFFSET(База!C$1,HLOOKUP(B9,Наука!D$1:K$53,53,0),0)</f>
        <v>Новое время</v>
      </c>
      <c r="G9" s="40">
        <v>4</v>
      </c>
      <c r="H9" s="40">
        <v>7</v>
      </c>
      <c r="I9" s="40">
        <v>66</v>
      </c>
      <c r="J9" s="91">
        <f>COUNTIF(Города!C:C,B9)</f>
        <v>3</v>
      </c>
      <c r="K9" s="232"/>
      <c r="L9" s="232">
        <v>1</v>
      </c>
      <c r="M9" s="232">
        <v>1</v>
      </c>
      <c r="N9" s="232"/>
      <c r="O9" s="232">
        <v>1</v>
      </c>
      <c r="P9" s="232">
        <v>1</v>
      </c>
      <c r="Q9" s="232"/>
      <c r="R9" s="232"/>
      <c r="S9" s="15" t="str">
        <f t="shared" si="2"/>
        <v/>
      </c>
      <c r="T9" s="15" t="str">
        <f t="shared" ref="T9:Y9" si="9">S9&amp;IF(L9,IF(S9&lt;&gt;"",", ","")&amp;IF(L9&gt;1,L9&amp;"x ","")&amp;L$2,"")</f>
        <v>мрамор</v>
      </c>
      <c r="U9" s="15" t="str">
        <f t="shared" si="9"/>
        <v>мрамор, камень</v>
      </c>
      <c r="V9" s="15" t="str">
        <f t="shared" si="9"/>
        <v>мрамор, камень</v>
      </c>
      <c r="W9" s="15" t="str">
        <f t="shared" si="9"/>
        <v>мрамор, камень, медь</v>
      </c>
      <c r="X9" s="15" t="str">
        <f t="shared" si="9"/>
        <v>мрамор, камень, медь, зерно</v>
      </c>
      <c r="Y9" s="15" t="str">
        <f t="shared" si="9"/>
        <v>мрамор, камень, медь, зерно</v>
      </c>
      <c r="Z9" s="96"/>
      <c r="AA9" s="125">
        <f t="shared" si="1"/>
        <v>7</v>
      </c>
      <c r="AB9" s="80">
        <f>VLOOKUP(E9,База!B$30:D$38,3,0)+VLOOKUP(E9,База!B$30:E$38,4,0)*J9</f>
        <v>2</v>
      </c>
      <c r="AC9" s="15">
        <f>SUMIF(Чудеса!U$2:U$99,1,Чудеса!I$2:I$99)</f>
        <v>0</v>
      </c>
      <c r="AD9" s="15">
        <f>HLOOKUP(B9,Наука!B$1:K$60,60,0)</f>
        <v>3</v>
      </c>
      <c r="AF9" s="15" t="str">
        <f ca="1">"[b]"&amp;B9&amp;".[/b] Лидер нации: "&amp;D9&amp;" (эпоха: "&amp;F9&amp;"; форма правления: "&amp;E9&amp;")[br][ul]"&amp;HLOOKUP(B9,Города!X$3:AE$4,2,0)&amp;"[/ul]"</f>
        <v>[b]Египет.[/b] Лидер нации: Микерин (эпоха: Новое время; форма правления: демократия)[br][ul][li][b]Гиза[/b]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человек.[/ul]</v>
      </c>
      <c r="AG9" s="15" t="str">
        <f>HLOOKUP(B9,Армии!$B$1:$AG$60,60,0)</f>
        <v>[br]1. ватага (пехотное 3 ур.)[br]2. ватага (пехотное 3 ур.)[br]3. ватага (пехотное 3 ур.)[br]4. верблюжатники (мобильное 1 ур.)[br]5. 4я ватага (пехотное 3 ур.)[br]6. арбалетчики (поддержка 2 ур.)[br]7. 1е копейщики (заградит. 1 ур.)[br]8. 1е бипланы (авиация 3 ур.)</v>
      </c>
      <c r="AH9" s="15" t="str">
        <f ca="1">HLOOKUP(B9,Наука!D$1:K$111,111,0)</f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AI9" s="15" t="str">
        <f ca="1">HLOOKUP(B9,Города!AG$3:AN$4,2,0)</f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J9" s="15" t="str">
        <f>HLOOKUP(B9,Наука!D$1:K$176,175,0)</f>
        <v>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нас.)[/li][li]джунгли: ЛИБО (+2 Мл; +1 Мн) ЛИБО (+1 Мл; +4 Мн) ЛИБО (+1 Мл; +1 Мн; +1 ОН) ЛИБО (+1 нас.)[/li][li]пустыни: ЛИБО (+1 Мл; +1 Мн) ЛИБО (+4 Мн) ЛИБО (+1 Мн; +1 ОН)[/li][li]арктика: ЛИБО (+1 Мл; +1 Мн) ЛИБО (+4 Мн) ЛИБО (+1 Мн; +1 ОН)[/li][li]моря и океаны: ЛИБО (+1 Мл; +2 Мн) ЛИБО (+5 Мн) ЛИБО (+2 Мн; +1 ОН)[/li][li]горы: ЛИБО (+1 Мл; +2 Мн) ЛИБО (+5 Мн) ЛИБО (+2 Мн; +1 ОН)[/li]</v>
      </c>
      <c r="AK9" s="15" t="str">
        <f t="shared" si="4"/>
        <v>мрамор, камень, медь, зерно</v>
      </c>
      <c r="AL9" s="15">
        <f ca="1">VLOOKUP(F9,База!C$2:D$6,2,0)</f>
        <v>3</v>
      </c>
      <c r="AM9" s="242">
        <f>HLOOKUP(B9,Наука!D$1:J$58,58,0)</f>
        <v>3</v>
      </c>
      <c r="AN9" s="249" t="s">
        <v>544</v>
      </c>
      <c r="AO9" s="249">
        <f>SUMIF(Города!C:C,Нации!B9,Города!D:D)</f>
        <v>7</v>
      </c>
    </row>
    <row r="10" spans="2:41" hidden="1" x14ac:dyDescent="0.25">
      <c r="B10" s="15" t="s">
        <v>8</v>
      </c>
      <c r="C10" s="15">
        <v>8</v>
      </c>
      <c r="D10" s="15" t="s">
        <v>308</v>
      </c>
      <c r="E10" s="15" t="s">
        <v>27</v>
      </c>
      <c r="F10" s="15" t="str">
        <f ca="1">OFFSET(База!C$1,HLOOKUP(B10,Наука!D$1:K$53,53,0),0)</f>
        <v>Древность</v>
      </c>
      <c r="G10" s="40">
        <v>2</v>
      </c>
      <c r="H10" s="40">
        <v>2</v>
      </c>
      <c r="I10" s="40">
        <v>0</v>
      </c>
      <c r="J10" s="91">
        <f>COUNTIF(Города!C:C,B10)</f>
        <v>1</v>
      </c>
      <c r="K10" s="232"/>
      <c r="L10" s="232"/>
      <c r="M10" s="232"/>
      <c r="N10" s="232"/>
      <c r="O10" s="232"/>
      <c r="P10" s="232"/>
      <c r="Q10" s="232">
        <v>1</v>
      </c>
      <c r="R10" s="232"/>
      <c r="S10" s="15" t="str">
        <f t="shared" si="2"/>
        <v/>
      </c>
      <c r="T10" s="15" t="str">
        <f t="shared" ref="T10:Y10" si="10">S10&amp;IF(L10,IF(S10&lt;&gt;"",", ","")&amp;IF(L10&gt;1,L10&amp;"x ","")&amp;L$2,"")</f>
        <v/>
      </c>
      <c r="U10" s="15" t="str">
        <f t="shared" si="10"/>
        <v/>
      </c>
      <c r="V10" s="15" t="str">
        <f t="shared" si="10"/>
        <v/>
      </c>
      <c r="W10" s="15" t="str">
        <f t="shared" si="10"/>
        <v/>
      </c>
      <c r="X10" s="15" t="str">
        <f t="shared" si="10"/>
        <v/>
      </c>
      <c r="Y10" s="15" t="str">
        <f t="shared" si="10"/>
        <v>кофе</v>
      </c>
      <c r="Z10" s="96"/>
      <c r="AA10" s="125">
        <f t="shared" si="1"/>
        <v>2</v>
      </c>
      <c r="AB10" s="80">
        <f>VLOOKUP(E10,База!B$30:D$38,3,0)+VLOOKUP(E10,База!B$30:E$38,4,0)*J10</f>
        <v>0</v>
      </c>
      <c r="AC10" s="15">
        <f>SUMIF(Чудеса!V$2:V$99,1,Чудеса!I$2:I$99)</f>
        <v>0</v>
      </c>
      <c r="AD10" s="15">
        <f>HLOOKUP(B10,Наука!B$1:K$60,60,0)</f>
        <v>0</v>
      </c>
      <c r="AF10" s="15" t="str">
        <f ca="1">"[b]"&amp;B10&amp;"[/b] Лидер нации: "&amp;D10&amp;" (эпоха: "&amp;F10&amp;"; форма правления: "&amp;E10&amp;")[br][ul]"&amp;HLOOKUP(B10,Города!X$3:AE$4,2,0)&amp;"[/ul]"</f>
        <v>[b]Зулусы[/b] Лидер нации: Чака (эпоха: Древность; форма правления: деспотизм)[br][ul][li][b]Мгунгундлова[/b] (нас: 1)[/li][br]Всего население (примерно, с учетом агломераций): 5 000  человек.[/ul]</v>
      </c>
      <c r="AG10" s="15" t="str">
        <f>HLOOKUP(B10,Армии!$B$1:$AG$60,60,0)</f>
        <v>[br]1. ватага (пехотное 1 ур.)[br]2. ватага (пехотное 1 ур.)</v>
      </c>
      <c r="AH10" s="15" t="str">
        <f ca="1">HLOOKUP(B10,Наука!D$1:K$111,111,0)</f>
        <v xml:space="preserve">[br]Технологии древности (1): Охота; </v>
      </c>
      <c r="AI10" s="15" t="str">
        <f ca="1">HLOOKUP(B10,Города!AG$3:AN$4,2,0)</f>
        <v>[br][b]Мгунгундлова[/b] (нас: 1; +2 Мл, +2 Мн, +2 ОН). Постройки: дворец.</v>
      </c>
      <c r="AJ10" s="15" t="str">
        <f>HLOOKUP(B10,Наука!D$1:K$176,172,0)</f>
        <v>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нас.)[/li][li]джунгли: ЛИБО (+2 Мл) ЛИБО (+1 Мл; +1 Мн) ЛИБО (+1 Мл; +1 ОН) ЛИБО (+1 нас.)[/li][li]пустыни: ЛИБО (+1 Мл) ЛИБО (+1 Мн) ЛИБО (+1 ОН)[/li]</v>
      </c>
      <c r="AK10" s="15" t="str">
        <f t="shared" si="4"/>
        <v>кофе</v>
      </c>
      <c r="AL10" s="15">
        <f ca="1">VLOOKUP(F10,База!C$2:D$6,2,0)</f>
        <v>1</v>
      </c>
      <c r="AM10" s="242"/>
    </row>
  </sheetData>
  <mergeCells count="4">
    <mergeCell ref="AA1:AD1"/>
    <mergeCell ref="B1:D1"/>
    <mergeCell ref="K1:Y1"/>
    <mergeCell ref="G1:I1"/>
  </mergeCells>
  <dataValidations count="1">
    <dataValidation type="list" allowBlank="1" showInputMessage="1" showErrorMessage="1" sqref="E3:E10">
      <formula1>ФормыП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6"/>
  <sheetViews>
    <sheetView workbookViewId="0">
      <pane ySplit="1" topLeftCell="A2" activePane="bottomLeft" state="frozen"/>
      <selection pane="bottomLeft" activeCell="N21" sqref="N21"/>
    </sheetView>
  </sheetViews>
  <sheetFormatPr defaultRowHeight="15" x14ac:dyDescent="0.25"/>
  <cols>
    <col min="1" max="1" width="3.140625" bestFit="1" customWidth="1"/>
    <col min="2" max="2" width="12.7109375" style="9" customWidth="1"/>
    <col min="3" max="5" width="2.7109375" style="10" customWidth="1"/>
    <col min="6" max="6" width="12.7109375" style="51" hidden="1" customWidth="1"/>
    <col min="7" max="9" width="2.7109375" style="52" hidden="1" customWidth="1"/>
    <col min="10" max="10" width="12.7109375" style="3" hidden="1" customWidth="1"/>
    <col min="11" max="13" width="2.7109375" style="4" hidden="1" customWidth="1"/>
    <col min="14" max="14" width="12.7109375" style="61" customWidth="1"/>
    <col min="15" max="17" width="2.7109375" style="62" customWidth="1"/>
    <col min="18" max="18" width="12.7109375" style="75" customWidth="1"/>
    <col min="19" max="21" width="2.7109375" style="76" customWidth="1"/>
    <col min="22" max="22" width="12.7109375" style="7" customWidth="1"/>
    <col min="23" max="25" width="2.7109375" style="8" customWidth="1"/>
    <col min="26" max="26" width="12.7109375" style="5" customWidth="1"/>
    <col min="27" max="29" width="2.7109375" style="6" customWidth="1"/>
    <col min="30" max="30" width="12.7109375" style="56" hidden="1" customWidth="1"/>
    <col min="31" max="33" width="2.7109375" style="57" hidden="1" customWidth="1"/>
    <col min="34" max="34" width="2.42578125" style="78" customWidth="1"/>
    <col min="35" max="35" width="12.140625" style="78" customWidth="1"/>
    <col min="36" max="37" width="2.42578125" style="78" customWidth="1"/>
    <col min="38" max="38" width="3.28515625" customWidth="1"/>
    <col min="39" max="46" width="9.140625" customWidth="1"/>
    <col min="48" max="50" width="9.140625" customWidth="1"/>
    <col min="52" max="54" width="9.140625" customWidth="1"/>
    <col min="56" max="58" width="9.140625" customWidth="1"/>
    <col min="60" max="62" width="9.140625" customWidth="1"/>
    <col min="64" max="66" width="9.140625" customWidth="1"/>
  </cols>
  <sheetData>
    <row r="1" spans="1:70" x14ac:dyDescent="0.25">
      <c r="B1" s="299" t="str">
        <f>Нации!B3</f>
        <v>Русь</v>
      </c>
      <c r="C1" s="299"/>
      <c r="D1" s="299"/>
      <c r="E1" s="299"/>
      <c r="F1" s="300" t="str">
        <f>Нации!B4</f>
        <v>Римская империя</v>
      </c>
      <c r="G1" s="300"/>
      <c r="H1" s="300"/>
      <c r="I1" s="300"/>
      <c r="J1" s="301" t="str">
        <f>Нации!B5</f>
        <v>Индия</v>
      </c>
      <c r="K1" s="301"/>
      <c r="L1" s="301"/>
      <c r="M1" s="301"/>
      <c r="N1" s="302" t="str">
        <f>Нации!B6</f>
        <v>Великие монголы</v>
      </c>
      <c r="O1" s="302"/>
      <c r="P1" s="302"/>
      <c r="Q1" s="302"/>
      <c r="R1" s="303" t="str">
        <f>Нации!B7</f>
        <v>Поднебесная</v>
      </c>
      <c r="S1" s="303"/>
      <c r="T1" s="303"/>
      <c r="U1" s="303"/>
      <c r="V1" s="296" t="str">
        <f>Нации!B8</f>
        <v>Индонезия</v>
      </c>
      <c r="W1" s="296"/>
      <c r="X1" s="296"/>
      <c r="Y1" s="296"/>
      <c r="Z1" s="297" t="str">
        <f>Нации!B9</f>
        <v>Египет</v>
      </c>
      <c r="AA1" s="297"/>
      <c r="AB1" s="297"/>
      <c r="AC1" s="297"/>
      <c r="AD1" s="298" t="str">
        <f>Нации!B10</f>
        <v>Зулусы</v>
      </c>
      <c r="AE1" s="298"/>
      <c r="AF1" s="298"/>
      <c r="AG1" s="298"/>
    </row>
    <row r="2" spans="1:70" x14ac:dyDescent="0.25">
      <c r="B2" s="65">
        <v>1</v>
      </c>
      <c r="C2" s="65">
        <f>B2+1</f>
        <v>2</v>
      </c>
      <c r="D2" s="65">
        <f t="shared" ref="D2:AG2" si="0">C2+1</f>
        <v>3</v>
      </c>
      <c r="E2" s="65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68">
        <f t="shared" si="0"/>
        <v>9</v>
      </c>
      <c r="K2" s="68">
        <f t="shared" si="0"/>
        <v>10</v>
      </c>
      <c r="L2" s="68">
        <f t="shared" si="0"/>
        <v>11</v>
      </c>
      <c r="M2" s="68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74">
        <f t="shared" si="0"/>
        <v>17</v>
      </c>
      <c r="S2" s="74">
        <f t="shared" si="0"/>
        <v>18</v>
      </c>
      <c r="T2" s="74">
        <f t="shared" si="0"/>
        <v>19</v>
      </c>
      <c r="U2" s="74">
        <f t="shared" si="0"/>
        <v>20</v>
      </c>
      <c r="V2" s="71">
        <f t="shared" si="0"/>
        <v>21</v>
      </c>
      <c r="W2" s="71">
        <f t="shared" si="0"/>
        <v>22</v>
      </c>
      <c r="X2" s="71">
        <f t="shared" si="0"/>
        <v>23</v>
      </c>
      <c r="Y2" s="71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55">
        <f t="shared" si="0"/>
        <v>29</v>
      </c>
      <c r="AE2" s="55">
        <f t="shared" si="0"/>
        <v>30</v>
      </c>
      <c r="AF2" s="55">
        <f t="shared" si="0"/>
        <v>31</v>
      </c>
      <c r="AG2" s="55">
        <f t="shared" si="0"/>
        <v>32</v>
      </c>
    </row>
    <row r="3" spans="1:70" ht="35.25" customHeight="1" x14ac:dyDescent="0.25">
      <c r="A3" t="s">
        <v>40</v>
      </c>
      <c r="B3" s="63" t="s">
        <v>39</v>
      </c>
      <c r="C3" s="64" t="s">
        <v>41</v>
      </c>
      <c r="D3" s="64" t="s">
        <v>152</v>
      </c>
      <c r="E3" s="64" t="s">
        <v>164</v>
      </c>
      <c r="F3" s="48" t="s">
        <v>39</v>
      </c>
      <c r="G3" s="49" t="s">
        <v>41</v>
      </c>
      <c r="H3" s="49" t="s">
        <v>152</v>
      </c>
      <c r="I3" s="49" t="s">
        <v>164</v>
      </c>
      <c r="J3" s="66" t="s">
        <v>39</v>
      </c>
      <c r="K3" s="67" t="s">
        <v>41</v>
      </c>
      <c r="L3" s="67" t="s">
        <v>152</v>
      </c>
      <c r="M3" s="67" t="s">
        <v>164</v>
      </c>
      <c r="N3" s="58" t="s">
        <v>39</v>
      </c>
      <c r="O3" s="59" t="s">
        <v>41</v>
      </c>
      <c r="P3" s="59" t="s">
        <v>152</v>
      </c>
      <c r="Q3" s="59" t="s">
        <v>164</v>
      </c>
      <c r="R3" s="72" t="s">
        <v>39</v>
      </c>
      <c r="S3" s="73" t="s">
        <v>41</v>
      </c>
      <c r="T3" s="73" t="s">
        <v>152</v>
      </c>
      <c r="U3" s="73" t="s">
        <v>164</v>
      </c>
      <c r="V3" s="69" t="s">
        <v>39</v>
      </c>
      <c r="W3" s="70" t="s">
        <v>41</v>
      </c>
      <c r="X3" s="70" t="s">
        <v>152</v>
      </c>
      <c r="Y3" s="70" t="s">
        <v>164</v>
      </c>
      <c r="Z3" s="26" t="s">
        <v>39</v>
      </c>
      <c r="AA3" s="77" t="s">
        <v>41</v>
      </c>
      <c r="AB3" s="77" t="s">
        <v>152</v>
      </c>
      <c r="AC3" s="77" t="s">
        <v>164</v>
      </c>
      <c r="AD3" s="53" t="s">
        <v>39</v>
      </c>
      <c r="AE3" s="54" t="s">
        <v>41</v>
      </c>
      <c r="AF3" s="54" t="s">
        <v>152</v>
      </c>
      <c r="AG3" s="54" t="s">
        <v>164</v>
      </c>
      <c r="AM3" t="str">
        <f>B1</f>
        <v>Русь</v>
      </c>
      <c r="AQ3" s="135" t="str">
        <f>F1</f>
        <v>Римская империя</v>
      </c>
      <c r="AU3" s="135" t="str">
        <f>J1</f>
        <v>Индия</v>
      </c>
      <c r="AV3" s="135">
        <f>K1</f>
        <v>0</v>
      </c>
      <c r="AW3" s="135">
        <f>L1</f>
        <v>0</v>
      </c>
      <c r="AX3" s="135">
        <f>M1</f>
        <v>0</v>
      </c>
      <c r="AY3" s="135" t="str">
        <f>N1</f>
        <v>Великие монголы</v>
      </c>
      <c r="AZ3" s="135">
        <f>O1</f>
        <v>0</v>
      </c>
      <c r="BA3" s="135">
        <f>P1</f>
        <v>0</v>
      </c>
      <c r="BB3" s="135">
        <f>Q1</f>
        <v>0</v>
      </c>
      <c r="BC3" s="135" t="str">
        <f>R1</f>
        <v>Поднебесная</v>
      </c>
      <c r="BD3" s="135">
        <f>S1</f>
        <v>0</v>
      </c>
      <c r="BE3" s="135">
        <f>T1</f>
        <v>0</v>
      </c>
      <c r="BF3" s="135">
        <f>U1</f>
        <v>0</v>
      </c>
      <c r="BG3" s="135" t="str">
        <f>V1</f>
        <v>Индонезия</v>
      </c>
      <c r="BH3" s="135">
        <f>W1</f>
        <v>0</v>
      </c>
      <c r="BI3" s="135">
        <f>X1</f>
        <v>0</v>
      </c>
      <c r="BJ3" s="135">
        <f>Y1</f>
        <v>0</v>
      </c>
      <c r="BK3" s="135" t="str">
        <f>Z1</f>
        <v>Египет</v>
      </c>
      <c r="BL3" s="135">
        <f>AA1</f>
        <v>0</v>
      </c>
      <c r="BM3" s="135">
        <f>AB1</f>
        <v>0</v>
      </c>
      <c r="BN3" s="135">
        <f>AC1</f>
        <v>0</v>
      </c>
      <c r="BO3" s="135" t="str">
        <f>AD1</f>
        <v>Зулусы</v>
      </c>
    </row>
    <row r="4" spans="1:70" x14ac:dyDescent="0.25">
      <c r="A4">
        <v>1</v>
      </c>
      <c r="B4" s="63" t="s">
        <v>554</v>
      </c>
      <c r="C4" s="267" t="s">
        <v>158</v>
      </c>
      <c r="D4" s="267">
        <v>4</v>
      </c>
      <c r="E4" s="65" t="s">
        <v>622</v>
      </c>
      <c r="F4" s="48" t="s">
        <v>132</v>
      </c>
      <c r="G4" s="50" t="s">
        <v>153</v>
      </c>
      <c r="H4" s="50">
        <v>1</v>
      </c>
      <c r="I4" s="50" t="s">
        <v>155</v>
      </c>
      <c r="J4" s="66" t="s">
        <v>448</v>
      </c>
      <c r="K4" s="250" t="s">
        <v>157</v>
      </c>
      <c r="L4" s="250">
        <v>2</v>
      </c>
      <c r="M4" s="68" t="s">
        <v>155</v>
      </c>
      <c r="N4" s="58" t="s">
        <v>504</v>
      </c>
      <c r="O4" s="280" t="s">
        <v>154</v>
      </c>
      <c r="P4" s="280">
        <v>3</v>
      </c>
      <c r="Q4" s="268"/>
      <c r="R4" s="72" t="s">
        <v>566</v>
      </c>
      <c r="S4" s="289" t="s">
        <v>158</v>
      </c>
      <c r="T4" s="289">
        <v>4</v>
      </c>
      <c r="U4" s="289"/>
      <c r="V4" s="69" t="s">
        <v>559</v>
      </c>
      <c r="W4" s="278" t="s">
        <v>158</v>
      </c>
      <c r="X4" s="278">
        <v>4</v>
      </c>
      <c r="Y4" s="278" t="s">
        <v>155</v>
      </c>
      <c r="Z4" s="26" t="s">
        <v>132</v>
      </c>
      <c r="AA4" s="28" t="s">
        <v>153</v>
      </c>
      <c r="AB4" s="28">
        <v>3</v>
      </c>
      <c r="AC4" s="28"/>
      <c r="AD4" s="53" t="s">
        <v>132</v>
      </c>
      <c r="AE4" s="55" t="s">
        <v>153</v>
      </c>
      <c r="AF4" s="55">
        <v>1</v>
      </c>
      <c r="AG4" s="55"/>
      <c r="AI4" s="72"/>
      <c r="AJ4" s="289"/>
      <c r="AK4" s="289"/>
      <c r="AL4" s="289"/>
      <c r="AM4" s="135" t="str">
        <f>IF((B4&lt;&gt;""),"[br]"&amp;IF(E4="у","[strike]","")&amp;$A4&amp;". "&amp;B4&amp;" ("&amp;VLOOKUP(C4,База!$A$13:$B$17,2,0)&amp;" "&amp;D4&amp;" ур.)"&amp;IF(E4="у","[/strike] (цена реорганизации: "&amp;D4*База!$I$2&amp;")","")&amp;IF(D4&lt;AN4," (цена апгрейда: "&amp;(AN4-D4)*База!$I$3&amp;")",""),"")&amp;AM5</f>
        <v>[br]1. 1е катюши (поддержка 4 ур.)[br]2. 1й авиаполк (авиация 4 ур.)[br]3. 2е катюши (поддержка 4 ур.)[br]4. 2й авиаполк (авиация 4 ур.)[br]5. 3я катюша (поддержка 4 ур.)[br]6.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4" s="135">
        <f t="shared" ref="AN4:AN35" si="1">IF(B4&lt;&gt;"",VLOOKUP(C4,C$55:D$59,2,0),0)</f>
        <v>4</v>
      </c>
      <c r="AO4" s="135">
        <f t="shared" ref="AO4:AO35" si="2">1*(D4&lt;AN4)</f>
        <v>0</v>
      </c>
      <c r="AP4" s="135"/>
      <c r="AQ4" s="135" t="str">
        <f>IF((F4&lt;&gt;""),"[br]"&amp;IF(I4="у","[strike]","")&amp;$A4&amp;". "&amp;F4&amp;" ("&amp;VLOOKUP(G4,База!$A$13:$B$17,2,0)&amp;" "&amp;H4&amp;" ур.)"&amp;IF(I4="у","[/strike] (цена реорганизации: "&amp;H4*База!$I$2&amp;")","")&amp;IF(H4&lt;AR4," (цена апгрейда: "&amp;(AR4-H4)*База!$I$3&amp;")",""),"")&amp;AQ5</f>
        <v>[br][strike]1. ватага (пехотное 1 ур.)[/strike] (цена реорганизации: 2)[br][strike]2. ватага (пехотное 1 ур.)[/strike] (цена реорганизации: 2)[br][strike]3. 1е триарии (заградит. 1 ур.)[/strike] (цена реорганизации: 2) (цена апгрейда: 4)[br][strike]4. 2е триарии (заградит. 1 ур.)[/strike] (цена реорганизации: 2) (цена апгрейда: 4)[br][strike]5. 3и триарии (заградит. 2 ур.)[/strike] (цена реорганизации: 4)[br][strike]6. 4е триарии (заградит. 2 ур.)[/strike] (цена реорганизации: 4)[br]7. 5е триарии (заградит. 2 ур.)[br]8. 6е триарии (заградит. 2 ур.)[br]9. 3я ватага (пехотное 1 ур.)</v>
      </c>
      <c r="AR4" s="135">
        <f t="shared" ref="AR4:AR35" si="3">IF(F4&lt;&gt;"",VLOOKUP(G4,G$55:H$59,2,0),0)</f>
        <v>1</v>
      </c>
      <c r="AS4" s="135">
        <f t="shared" ref="AS4:AS35" si="4">1*(H4&lt;AR4)</f>
        <v>0</v>
      </c>
      <c r="AT4" s="135"/>
      <c r="AU4" s="135" t="str">
        <f>IF((J4&lt;&gt;""),"[br]"&amp;IF(M4="у","[strike]","")&amp;$A4&amp;". "&amp;J4&amp;" ("&amp;VLOOKUP(K4,База!$A$13:$B$17,2,0)&amp;" "&amp;L4&amp;" ур.)"&amp;IF(M4="у","[/strike] (цена реорганизации: "&amp;L4*База!$I$2&amp;")","")&amp;IF(L4&lt;AV4," (цена апгрейда: "&amp;(AV4-L4)*База!$I$3&amp;")",""),"")&amp;AU5</f>
        <v>[br][strike]1. 1е пикинеры (заградит. 2 ур.)[/strike] (цена реорганизации: 4)[br][strike]2. 1е рыцари (мобильное 2 ур.)[/strike] (цена реорганизации: 4)[br][strike]3. 2е пикирены (заградит. 2 ур.)[/strike] (цена реорганизации: 4)[br][strike]4. 2е рыцари (мобильное 2 ур.)[/strike] (цена реорганизации: 4)[br][strike]5. 3и рыцари (мобильное 2 ур.)[/strike] (цена реорганизации: 4)[br][strike]6.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</v>
      </c>
      <c r="AV4" s="135">
        <f t="shared" ref="AV4:AV35" si="5">IF(J4&lt;&gt;"",VLOOKUP(K4,K$55:L$59,2,0),0)</f>
        <v>2</v>
      </c>
      <c r="AW4" s="135">
        <f t="shared" ref="AW4:AW35" si="6">1*(L4&lt;AV4)</f>
        <v>0</v>
      </c>
      <c r="AX4" s="135"/>
      <c r="AY4" s="247" t="str">
        <f>IF((N4&lt;&gt;""),"[br]"&amp;IF(Q4="у","[strike]","")&amp;$A4&amp;". "&amp;N4&amp;" ("&amp;VLOOKUP(O4,База!$A$13:$B$17,2,0)&amp;" "&amp;P4&amp;" ур.)"&amp;IF(Q4="у","[/strike] (цена реорганизации: "&amp;P4*База!$I$2&amp;")","")&amp;IF(P4&lt;AZ4," (цена апгрейда: "&amp;(AZ4-P4)*База!$I$3&amp;")",""),"")&amp;AY5</f>
        <v>[br]1. 1е бипланы (авиация 3 ур.)[br]2. 6е бипланы (авиация 3 ур.)[br]3. 7е бипланы (авиация 3 ур.)[br]4. 8е бипланы (авиация 3 ур.)[br]5. 9е бипланы (авиация 3 ур.)[br]6.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4" s="247">
        <f t="shared" ref="AZ4:AZ28" si="7">IF(N4&lt;&gt;"",VLOOKUP(O4,O$55:P$59,2,0),0)</f>
        <v>3</v>
      </c>
      <c r="BA4" s="247">
        <f t="shared" ref="BA4:BA28" si="8">1*(P4&lt;AZ4)</f>
        <v>0</v>
      </c>
      <c r="BB4" s="135"/>
      <c r="BC4" s="135" t="str">
        <f>IF((R4&lt;&gt;""),"[br]"&amp;IF(U4="у","[strike]","")&amp;$A4&amp;". "&amp;R4&amp;" ("&amp;VLOOKUP(S4,База!$A$13:$B$17,2,0)&amp;" "&amp;T4&amp;" ур.)"&amp;IF(U4="у","[/strike] (цена реорганизации: "&amp;T4*База!$I$2&amp;")","")&amp;IF(T4&lt;BD4," (цена апгрейда: "&amp;(BD4-T4)*База!$I$3&amp;")",""),"")&amp;BC5</f>
        <v>[br]1. 11й РСЗО Донгфенг  (поддержка 4 ур.)[br]2. 10я РЭ Дженду J-20 (авиация 4 ур.)[br]3. 2я батарея (поддержка 4 ур.)[br]4. 2й полк Чженду J-20 "Морской орел" (авиация 4 ур.)[br]5. 9я батарея (поддержка 4 ур.)[br]6.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4" s="135">
        <f t="shared" ref="BD4:BD35" si="9">IF(R4&lt;&gt;"",VLOOKUP(S4,S$55:T$59,2,0),0)</f>
        <v>4</v>
      </c>
      <c r="BE4" s="135">
        <f t="shared" ref="BE4:BE35" si="10">1*(T4&lt;BD4)</f>
        <v>0</v>
      </c>
      <c r="BF4" s="135"/>
      <c r="BG4" s="135" t="str">
        <f>IF((V4&lt;&gt;""),"[br]"&amp;IF(Y4="у","[strike]","")&amp;$A4&amp;". "&amp;V4&amp;" ("&amp;VLOOKUP(W4,База!$A$13:$B$17,2,0)&amp;" "&amp;X4&amp;" ур.)"&amp;IF(Y4="у","[/strike] (цена реорганизации: "&amp;X4*База!$I$2&amp;")","")&amp;IF(X4&lt;BH4," (цена апгрейда: "&amp;(BH4-X4)*База!$I$3&amp;")",""),"")&amp;BG5</f>
        <v>[br][strike]1. 1е РСЗО (поддержка 4 ур.)[/strike] (цена реорганизации: 8)[br]2. 1я эскадрилья (авиация 4 ур.)[br][strike]3. 2е РСЗО (поддержка 4 ур.)[/strike] (цена реорганизации: 8)[br][strike]4. 8я эскадрилья (авиация 4 ур.)[/strike] (цена реорганизации: 8)[br][strike]5. 8я ватага (пехотное 1 ур.)[/strike] (цена реорганизации: 2)[br][strike]6.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4" s="135">
        <f t="shared" ref="BH4:BH35" si="11">IF(V4&lt;&gt;"",VLOOKUP(W4,W$55:X$59,2,0),0)</f>
        <v>4</v>
      </c>
      <c r="BI4" s="135">
        <f t="shared" ref="BI4:BI35" si="12">1*(X4&lt;BH4)</f>
        <v>0</v>
      </c>
      <c r="BJ4" s="135"/>
      <c r="BK4" s="135" t="str">
        <f>IF((Z4&lt;&gt;""),"[br]"&amp;IF(AC4="у","[strike]","")&amp;$A4&amp;". "&amp;Z4&amp;" ("&amp;VLOOKUP(AA4,База!$A$13:$B$17,2,0)&amp;" "&amp;AB4&amp;" ур.)"&amp;IF(AC4="у","[/strike] (цена реорганизации: "&amp;AB4*База!$I$2&amp;")","")&amp;IF(AB4&lt;BL4," (цена апгрейда: "&amp;(BL4-AB4)*База!$I$3&amp;")",""),"")&amp;BK5</f>
        <v>[br]1. ватага (пехотное 3 ур.)[br]2. ватага (пехотное 3 ур.)[br]3. ватага (пехотное 3 ур.)[br]4. верблюжатники (мобильное 1 ур.)[br]5. 4я ватага (пехотное 3 ур.)[br]6. арбалетчики (поддержка 2 ур.)[br]7. 1е копейщики (заградит. 1 ур.)[br]8. 1е бипланы (авиация 3 ур.)</v>
      </c>
      <c r="BL4" s="135">
        <f t="shared" ref="BL4:BL35" si="13">IF(Z4&lt;&gt;"",VLOOKUP(AA4,AA$55:AB$59,2,0),0)</f>
        <v>3</v>
      </c>
      <c r="BM4" s="135">
        <f t="shared" ref="BM4:BM35" si="14">1*(AB4&lt;BL4)</f>
        <v>0</v>
      </c>
      <c r="BN4" s="135"/>
      <c r="BO4" s="135" t="str">
        <f>IF((AD4&lt;&gt;""),"[br]"&amp;IF(AG4="у","[strike]","")&amp;$A4&amp;". "&amp;AD4&amp;" ("&amp;VLOOKUP(AE4,База!$A$13:$B$17,2,0)&amp;" "&amp;AF4&amp;" ур.)"&amp;IF(AG4="у","[/strike] (цена реорганизации: "&amp;AF4*База!$I$2&amp;")","")&amp;IF(AF4&lt;BP4," (цена апгрейда: "&amp;(BP4-AF4)*База!$I$3&amp;")",""),"")&amp;BO5</f>
        <v>[br]1. ватага (пехотное 1 ур.)[br]2. ватага (пехотное 1 ур.)</v>
      </c>
      <c r="BP4" s="135">
        <f t="shared" ref="BP4:BP35" si="15">IF(AD4&lt;&gt;"",VLOOKUP(AE4,AE$55:AF$59,2,0),0)</f>
        <v>1</v>
      </c>
      <c r="BQ4" s="135">
        <f t="shared" ref="BQ4:BQ35" si="16">1*(AF4&lt;BP4)</f>
        <v>0</v>
      </c>
      <c r="BR4" s="135"/>
    </row>
    <row r="5" spans="1:70" x14ac:dyDescent="0.25">
      <c r="A5">
        <v>2</v>
      </c>
      <c r="B5" s="63" t="s">
        <v>516</v>
      </c>
      <c r="C5" s="267" t="s">
        <v>154</v>
      </c>
      <c r="D5" s="267">
        <v>4</v>
      </c>
      <c r="E5" s="65"/>
      <c r="F5" s="48" t="s">
        <v>132</v>
      </c>
      <c r="G5" s="50" t="s">
        <v>153</v>
      </c>
      <c r="H5" s="50">
        <v>1</v>
      </c>
      <c r="I5" s="50" t="s">
        <v>155</v>
      </c>
      <c r="J5" s="66" t="s">
        <v>344</v>
      </c>
      <c r="K5" s="250" t="s">
        <v>156</v>
      </c>
      <c r="L5" s="250">
        <v>2</v>
      </c>
      <c r="M5" s="68" t="s">
        <v>155</v>
      </c>
      <c r="N5" s="58" t="s">
        <v>519</v>
      </c>
      <c r="O5" s="268" t="s">
        <v>154</v>
      </c>
      <c r="P5" s="268">
        <v>3</v>
      </c>
      <c r="Q5" s="268"/>
      <c r="R5" s="72" t="s">
        <v>569</v>
      </c>
      <c r="S5" s="289" t="s">
        <v>154</v>
      </c>
      <c r="T5" s="289">
        <v>4</v>
      </c>
      <c r="U5" s="289"/>
      <c r="V5" s="69" t="s">
        <v>481</v>
      </c>
      <c r="W5" s="260" t="s">
        <v>154</v>
      </c>
      <c r="X5" s="260">
        <v>4</v>
      </c>
      <c r="Y5" s="260" t="s">
        <v>622</v>
      </c>
      <c r="Z5" s="26" t="s">
        <v>132</v>
      </c>
      <c r="AA5" s="28" t="s">
        <v>153</v>
      </c>
      <c r="AB5" s="28">
        <v>3</v>
      </c>
      <c r="AC5" s="28"/>
      <c r="AD5" s="53" t="s">
        <v>132</v>
      </c>
      <c r="AE5" s="55" t="s">
        <v>153</v>
      </c>
      <c r="AF5" s="55">
        <v>1</v>
      </c>
      <c r="AG5" s="55"/>
      <c r="AM5" s="135" t="str">
        <f>IF((B5&lt;&gt;""),"[br]"&amp;IF(E5="у","[strike]","")&amp;$A5&amp;". "&amp;B5&amp;" ("&amp;VLOOKUP(C5,База!$A$13:$B$17,2,0)&amp;" "&amp;D5&amp;" ур.)"&amp;IF(E5="у","[/strike] (цена реорганизации: "&amp;D5*База!$I$2&amp;")","")&amp;IF(D5&lt;AN5," (цена апгрейда: "&amp;(AN5-D5)*База!$I$3&amp;")",""),"")&amp;AM6</f>
        <v>[br]2. 1й авиаполк (авиация 4 ур.)[br]3. 2е катюши (поддержка 4 ур.)[br]4. 2й авиаполк (авиация 4 ур.)[br]5. 3я катюша (поддержка 4 ур.)[br]6.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5" s="135">
        <f t="shared" si="1"/>
        <v>4</v>
      </c>
      <c r="AO5" s="135">
        <f t="shared" si="2"/>
        <v>0</v>
      </c>
      <c r="AP5" s="135"/>
      <c r="AQ5" s="135" t="str">
        <f>IF((F5&lt;&gt;""),"[br]"&amp;IF(I5="у","[strike]","")&amp;$A5&amp;". "&amp;F5&amp;" ("&amp;VLOOKUP(G5,База!$A$13:$B$17,2,0)&amp;" "&amp;H5&amp;" ур.)"&amp;IF(I5="у","[/strike] (цена реорганизации: "&amp;H5*База!$I$2&amp;")","")&amp;IF(H5&lt;AR5," (цена апгрейда: "&amp;(AR5-H5)*База!$I$3&amp;")",""),"")&amp;AQ6</f>
        <v>[br][strike]2. ватага (пехотное 1 ур.)[/strike] (цена реорганизации: 2)[br][strike]3. 1е триарии (заградит. 1 ур.)[/strike] (цена реорганизации: 2) (цена апгрейда: 4)[br][strike]4. 2е триарии (заградит. 1 ур.)[/strike] (цена реорганизации: 2) (цена апгрейда: 4)[br][strike]5. 3и триарии (заградит. 2 ур.)[/strike] (цена реорганизации: 4)[br][strike]6. 4е триарии (заградит. 2 ур.)[/strike] (цена реорганизации: 4)[br]7. 5е триарии (заградит. 2 ур.)[br]8. 6е триарии (заградит. 2 ур.)[br]9. 3я ватага (пехотное 1 ур.)</v>
      </c>
      <c r="AR5" s="135">
        <f t="shared" si="3"/>
        <v>1</v>
      </c>
      <c r="AS5" s="135">
        <f t="shared" si="4"/>
        <v>0</v>
      </c>
      <c r="AT5" s="135"/>
      <c r="AU5" s="135" t="str">
        <f>IF((J5&lt;&gt;""),"[br]"&amp;IF(M5="у","[strike]","")&amp;$A5&amp;". "&amp;J5&amp;" ("&amp;VLOOKUP(K5,База!$A$13:$B$17,2,0)&amp;" "&amp;L5&amp;" ур.)"&amp;IF(M5="у","[/strike] (цена реорганизации: "&amp;L5*База!$I$2&amp;")","")&amp;IF(L5&lt;AV5," (цена апгрейда: "&amp;(AV5-L5)*База!$I$3&amp;")",""),"")&amp;AU6</f>
        <v>[br][strike]2. 1е рыцари (мобильное 2 ур.)[/strike] (цена реорганизации: 4)[br][strike]3. 2е пикирены (заградит. 2 ур.)[/strike] (цена реорганизации: 4)[br][strike]4. 2е рыцари (мобильное 2 ур.)[/strike] (цена реорганизации: 4)[br][strike]5. 3и рыцари (мобильное 2 ур.)[/strike] (цена реорганизации: 4)[br][strike]6.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</v>
      </c>
      <c r="AV5" s="135">
        <f t="shared" si="5"/>
        <v>2</v>
      </c>
      <c r="AW5" s="135">
        <f t="shared" si="6"/>
        <v>0</v>
      </c>
      <c r="AX5" s="135"/>
      <c r="AY5" s="247" t="str">
        <f>IF((N5&lt;&gt;""),"[br]"&amp;IF(Q5="у","[strike]","")&amp;$A5&amp;". "&amp;N5&amp;" ("&amp;VLOOKUP(O5,База!$A$13:$B$17,2,0)&amp;" "&amp;P5&amp;" ур.)"&amp;IF(Q5="у","[/strike] (цена реорганизации: "&amp;P5*База!$I$2&amp;")","")&amp;IF(P5&lt;AZ5," (цена апгрейда: "&amp;(AZ5-P5)*База!$I$3&amp;")",""),"")&amp;AY6</f>
        <v>[br]2. 6е бипланы (авиация 3 ур.)[br]3. 7е бипланы (авиация 3 ур.)[br]4. 8е бипланы (авиация 3 ур.)[br]5. 9е бипланы (авиация 3 ур.)[br]6.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5" s="247">
        <f t="shared" si="7"/>
        <v>3</v>
      </c>
      <c r="BA5" s="247">
        <f t="shared" si="8"/>
        <v>0</v>
      </c>
      <c r="BB5" s="135"/>
      <c r="BC5" s="135" t="str">
        <f>IF((R5&lt;&gt;""),"[br]"&amp;IF(U5="у","[strike]","")&amp;$A5&amp;". "&amp;R5&amp;" ("&amp;VLOOKUP(S5,База!$A$13:$B$17,2,0)&amp;" "&amp;T5&amp;" ур.)"&amp;IF(U5="у","[/strike] (цена реорганизации: "&amp;T5*База!$I$2&amp;")","")&amp;IF(T5&lt;BD5," (цена апгрейда: "&amp;(BD5-T5)*База!$I$3&amp;")",""),"")&amp;BC6</f>
        <v>[br]2. 10я РЭ Дженду J-20 (авиация 4 ур.)[br]3. 2я батарея (поддержка 4 ур.)[br]4. 2й полк Чженду J-20 "Морской орел" (авиация 4 ур.)[br]5. 9я батарея (поддержка 4 ур.)[br]6.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5" s="135">
        <f t="shared" si="9"/>
        <v>4</v>
      </c>
      <c r="BE5" s="135">
        <f t="shared" si="10"/>
        <v>0</v>
      </c>
      <c r="BF5" s="135"/>
      <c r="BG5" s="135" t="str">
        <f>IF((V5&lt;&gt;""),"[br]"&amp;IF(Y5="у","[strike]","")&amp;$A5&amp;". "&amp;V5&amp;" ("&amp;VLOOKUP(W5,База!$A$13:$B$17,2,0)&amp;" "&amp;X5&amp;" ур.)"&amp;IF(Y5="у","[/strike] (цена реорганизации: "&amp;X5*База!$I$2&amp;")","")&amp;IF(X5&lt;BH5," (цена апгрейда: "&amp;(BH5-X5)*База!$I$3&amp;")",""),"")&amp;BG6</f>
        <v>[br]2. 1я эскадрилья (авиация 4 ур.)[br][strike]3. 2е РСЗО (поддержка 4 ур.)[/strike] (цена реорганизации: 8)[br][strike]4. 8я эскадрилья (авиация 4 ур.)[/strike] (цена реорганизации: 8)[br][strike]5. 8я ватага (пехотное 1 ур.)[/strike] (цена реорганизации: 2)[br][strike]6.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5" s="135">
        <f t="shared" si="11"/>
        <v>4</v>
      </c>
      <c r="BI5" s="135">
        <f t="shared" si="12"/>
        <v>0</v>
      </c>
      <c r="BJ5" s="135"/>
      <c r="BK5" s="135" t="str">
        <f>IF((Z5&lt;&gt;""),"[br]"&amp;IF(AC5="у","[strike]","")&amp;$A5&amp;". "&amp;Z5&amp;" ("&amp;VLOOKUP(AA5,База!$A$13:$B$17,2,0)&amp;" "&amp;AB5&amp;" ур.)"&amp;IF(AC5="у","[/strike] (цена реорганизации: "&amp;AB5*База!$I$2&amp;")","")&amp;IF(AB5&lt;BL5," (цена апгрейда: "&amp;(BL5-AB5)*База!$I$3&amp;")",""),"")&amp;BK6</f>
        <v>[br]2. ватага (пехотное 3 ур.)[br]3. ватага (пехотное 3 ур.)[br]4. верблюжатники (мобильное 1 ур.)[br]5. 4я ватага (пехотное 3 ур.)[br]6. арбалетчики (поддержка 2 ур.)[br]7. 1е копейщики (заградит. 1 ур.)[br]8. 1е бипланы (авиация 3 ур.)</v>
      </c>
      <c r="BL5" s="135">
        <f t="shared" si="13"/>
        <v>3</v>
      </c>
      <c r="BM5" s="135">
        <f t="shared" si="14"/>
        <v>0</v>
      </c>
      <c r="BN5" s="135"/>
      <c r="BO5" s="135" t="str">
        <f>IF((AD5&lt;&gt;""),"[br]"&amp;IF(AG5="у","[strike]","")&amp;$A5&amp;". "&amp;AD5&amp;" ("&amp;VLOOKUP(AE5,База!$A$13:$B$17,2,0)&amp;" "&amp;AF5&amp;" ур.)"&amp;IF(AG5="у","[/strike] (цена реорганизации: "&amp;AF5*База!$I$2&amp;")","")&amp;IF(AF5&lt;BP5," (цена апгрейда: "&amp;(BP5-AF5)*База!$I$3&amp;")",""),"")&amp;BO6</f>
        <v>[br]2. ватага (пехотное 1 ур.)</v>
      </c>
      <c r="BP5" s="135">
        <f t="shared" si="15"/>
        <v>1</v>
      </c>
      <c r="BQ5" s="135">
        <f t="shared" si="16"/>
        <v>0</v>
      </c>
      <c r="BR5" s="135"/>
    </row>
    <row r="6" spans="1:70" x14ac:dyDescent="0.25">
      <c r="A6">
        <v>3</v>
      </c>
      <c r="B6" s="63" t="s">
        <v>556</v>
      </c>
      <c r="C6" s="267" t="s">
        <v>158</v>
      </c>
      <c r="D6" s="267">
        <v>4</v>
      </c>
      <c r="E6" s="65" t="s">
        <v>622</v>
      </c>
      <c r="F6" s="48" t="s">
        <v>341</v>
      </c>
      <c r="G6" s="50" t="s">
        <v>157</v>
      </c>
      <c r="H6" s="50">
        <v>1</v>
      </c>
      <c r="I6" s="50" t="s">
        <v>155</v>
      </c>
      <c r="J6" s="66" t="s">
        <v>484</v>
      </c>
      <c r="K6" s="250" t="s">
        <v>157</v>
      </c>
      <c r="L6" s="250">
        <v>2</v>
      </c>
      <c r="M6" s="68" t="s">
        <v>155</v>
      </c>
      <c r="N6" s="58" t="s">
        <v>520</v>
      </c>
      <c r="O6" s="268" t="s">
        <v>154</v>
      </c>
      <c r="P6" s="268">
        <v>3</v>
      </c>
      <c r="Q6" s="268"/>
      <c r="R6" s="72" t="s">
        <v>524</v>
      </c>
      <c r="S6" s="289" t="s">
        <v>158</v>
      </c>
      <c r="T6" s="289">
        <v>4</v>
      </c>
      <c r="U6" s="289"/>
      <c r="V6" s="69" t="s">
        <v>619</v>
      </c>
      <c r="W6" s="288" t="s">
        <v>158</v>
      </c>
      <c r="X6" s="288">
        <v>4</v>
      </c>
      <c r="Y6" s="288" t="s">
        <v>155</v>
      </c>
      <c r="Z6" s="26" t="s">
        <v>132</v>
      </c>
      <c r="AA6" s="28" t="s">
        <v>153</v>
      </c>
      <c r="AB6" s="28">
        <v>3</v>
      </c>
      <c r="AC6" s="28"/>
      <c r="AD6" s="53"/>
      <c r="AE6" s="55"/>
      <c r="AF6" s="55"/>
      <c r="AG6" s="55"/>
      <c r="AM6" s="135" t="str">
        <f>IF((B6&lt;&gt;""),"[br]"&amp;IF(E6="у","[strike]","")&amp;$A6&amp;". "&amp;B6&amp;" ("&amp;VLOOKUP(C6,База!$A$13:$B$17,2,0)&amp;" "&amp;D6&amp;" ур.)"&amp;IF(E6="у","[/strike] (цена реорганизации: "&amp;D6*База!$I$2&amp;")","")&amp;IF(D6&lt;AN6," (цена апгрейда: "&amp;(AN6-D6)*База!$I$3&amp;")",""),"")&amp;AM7</f>
        <v>[br]3. 2е катюши (поддержка 4 ур.)[br]4. 2й авиаполк (авиация 4 ур.)[br]5. 3я катюша (поддержка 4 ур.)[br]6.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6" s="135">
        <f t="shared" si="1"/>
        <v>4</v>
      </c>
      <c r="AO6" s="135">
        <f t="shared" si="2"/>
        <v>0</v>
      </c>
      <c r="AP6" s="135"/>
      <c r="AQ6" s="135" t="str">
        <f>IF((F6&lt;&gt;""),"[br]"&amp;IF(I6="у","[strike]","")&amp;$A6&amp;". "&amp;F6&amp;" ("&amp;VLOOKUP(G6,База!$A$13:$B$17,2,0)&amp;" "&amp;H6&amp;" ур.)"&amp;IF(I6="у","[/strike] (цена реорганизации: "&amp;H6*База!$I$2&amp;")","")&amp;IF(H6&lt;AR6," (цена апгрейда: "&amp;(AR6-H6)*База!$I$3&amp;")",""),"")&amp;AQ7</f>
        <v>[br][strike]3. 1е триарии (заградит. 1 ур.)[/strike] (цена реорганизации: 2) (цена апгрейда: 4)[br][strike]4. 2е триарии (заградит. 1 ур.)[/strike] (цена реорганизации: 2) (цена апгрейда: 4)[br][strike]5. 3и триарии (заградит. 2 ур.)[/strike] (цена реорганизации: 4)[br][strike]6. 4е триарии (заградит. 2 ур.)[/strike] (цена реорганизации: 4)[br]7. 5е триарии (заградит. 2 ур.)[br]8. 6е триарии (заградит. 2 ур.)[br]9. 3я ватага (пехотное 1 ур.)</v>
      </c>
      <c r="AR6" s="135">
        <f t="shared" si="3"/>
        <v>2</v>
      </c>
      <c r="AS6" s="135">
        <f t="shared" si="4"/>
        <v>1</v>
      </c>
      <c r="AT6" s="135"/>
      <c r="AU6" s="135" t="str">
        <f>IF((J6&lt;&gt;""),"[br]"&amp;IF(M6="у","[strike]","")&amp;$A6&amp;". "&amp;J6&amp;" ("&amp;VLOOKUP(K6,База!$A$13:$B$17,2,0)&amp;" "&amp;L6&amp;" ур.)"&amp;IF(M6="у","[/strike] (цена реорганизации: "&amp;L6*База!$I$2&amp;")","")&amp;IF(L6&lt;AV6," (цена апгрейда: "&amp;(AV6-L6)*База!$I$3&amp;")",""),"")&amp;AU7</f>
        <v>[br][strike]3. 2е пикирены (заградит. 2 ур.)[/strike] (цена реорганизации: 4)[br][strike]4. 2е рыцари (мобильное 2 ур.)[/strike] (цена реорганизации: 4)[br][strike]5. 3и рыцари (мобильное 2 ур.)[/strike] (цена реорганизации: 4)[br][strike]6.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</v>
      </c>
      <c r="AV6" s="135">
        <f t="shared" si="5"/>
        <v>2</v>
      </c>
      <c r="AW6" s="135">
        <f t="shared" si="6"/>
        <v>0</v>
      </c>
      <c r="AX6" s="135"/>
      <c r="AY6" s="247" t="str">
        <f>IF((N6&lt;&gt;""),"[br]"&amp;IF(Q6="у","[strike]","")&amp;$A6&amp;". "&amp;N6&amp;" ("&amp;VLOOKUP(O6,База!$A$13:$B$17,2,0)&amp;" "&amp;P6&amp;" ур.)"&amp;IF(Q6="у","[/strike] (цена реорганизации: "&amp;P6*База!$I$2&amp;")","")&amp;IF(P6&lt;AZ6," (цена апгрейда: "&amp;(AZ6-P6)*База!$I$3&amp;")",""),"")&amp;AY7</f>
        <v>[br]3. 7е бипланы (авиация 3 ур.)[br]4. 8е бипланы (авиация 3 ур.)[br]5. 9е бипланы (авиация 3 ур.)[br]6.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6" s="247">
        <f t="shared" si="7"/>
        <v>3</v>
      </c>
      <c r="BA6" s="247">
        <f t="shared" si="8"/>
        <v>0</v>
      </c>
      <c r="BB6" s="135"/>
      <c r="BC6" s="135" t="str">
        <f>IF((R6&lt;&gt;""),"[br]"&amp;IF(U6="у","[strike]","")&amp;$A6&amp;". "&amp;R6&amp;" ("&amp;VLOOKUP(S6,База!$A$13:$B$17,2,0)&amp;" "&amp;T6&amp;" ур.)"&amp;IF(U6="у","[/strike] (цена реорганизации: "&amp;T6*База!$I$2&amp;")","")&amp;IF(T6&lt;BD6," (цена апгрейда: "&amp;(BD6-T6)*База!$I$3&amp;")",""),"")&amp;BC7</f>
        <v>[br]3. 2я батарея (поддержка 4 ур.)[br]4. 2й полк Чженду J-20 "Морской орел" (авиация 4 ур.)[br]5. 9я батарея (поддержка 4 ур.)[br]6.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6" s="135">
        <f t="shared" si="9"/>
        <v>4</v>
      </c>
      <c r="BE6" s="135">
        <f t="shared" si="10"/>
        <v>0</v>
      </c>
      <c r="BF6" s="135"/>
      <c r="BG6" s="135" t="str">
        <f>IF((V6&lt;&gt;""),"[br]"&amp;IF(Y6="у","[strike]","")&amp;$A6&amp;". "&amp;V6&amp;" ("&amp;VLOOKUP(W6,База!$A$13:$B$17,2,0)&amp;" "&amp;X6&amp;" ур.)"&amp;IF(Y6="у","[/strike] (цена реорганизации: "&amp;X6*База!$I$2&amp;")","")&amp;IF(X6&lt;BH6," (цена апгрейда: "&amp;(BH6-X6)*База!$I$3&amp;")",""),"")&amp;BG7</f>
        <v>[br][strike]3. 2е РСЗО (поддержка 4 ур.)[/strike] (цена реорганизации: 8)[br][strike]4. 8я эскадрилья (авиация 4 ур.)[/strike] (цена реорганизации: 8)[br][strike]5. 8я ватага (пехотное 1 ур.)[/strike] (цена реорганизации: 2)[br][strike]6.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6" s="135">
        <f t="shared" si="11"/>
        <v>4</v>
      </c>
      <c r="BI6" s="135">
        <f t="shared" si="12"/>
        <v>0</v>
      </c>
      <c r="BJ6" s="135"/>
      <c r="BK6" s="135" t="str">
        <f>IF((Z6&lt;&gt;""),"[br]"&amp;IF(AC6="у","[strike]","")&amp;$A6&amp;". "&amp;Z6&amp;" ("&amp;VLOOKUP(AA6,База!$A$13:$B$17,2,0)&amp;" "&amp;AB6&amp;" ур.)"&amp;IF(AC6="у","[/strike] (цена реорганизации: "&amp;AB6*База!$I$2&amp;")","")&amp;IF(AB6&lt;BL6," (цена апгрейда: "&amp;(BL6-AB6)*База!$I$3&amp;")",""),"")&amp;BK7</f>
        <v>[br]3. ватага (пехотное 3 ур.)[br]4. верблюжатники (мобильное 1 ур.)[br]5. 4я ватага (пехотное 3 ур.)[br]6. арбалетчики (поддержка 2 ур.)[br]7. 1е копейщики (заградит. 1 ур.)[br]8. 1е бипланы (авиация 3 ур.)</v>
      </c>
      <c r="BL6" s="135">
        <f t="shared" si="13"/>
        <v>3</v>
      </c>
      <c r="BM6" s="135">
        <f t="shared" si="14"/>
        <v>0</v>
      </c>
      <c r="BN6" s="135"/>
      <c r="BO6" s="135" t="str">
        <f>IF((AD6&lt;&gt;""),"[br]"&amp;IF(AG6="у","[strike]","")&amp;$A6&amp;". "&amp;AD6&amp;" ("&amp;VLOOKUP(AE6,База!$A$13:$B$17,2,0)&amp;" "&amp;AF6&amp;" ур.)"&amp;IF(AG6="у","[/strike] (цена реорганизации: "&amp;AF6*База!$I$2&amp;")","")&amp;IF(AF6&lt;BP6," (цена апгрейда: "&amp;(BP6-AF6)*База!$I$3&amp;")",""),"")&amp;BO7</f>
        <v/>
      </c>
      <c r="BP6" s="135">
        <f t="shared" si="15"/>
        <v>0</v>
      </c>
      <c r="BQ6" s="135">
        <f t="shared" si="16"/>
        <v>0</v>
      </c>
      <c r="BR6" s="135"/>
    </row>
    <row r="7" spans="1:70" x14ac:dyDescent="0.25">
      <c r="A7">
        <v>4</v>
      </c>
      <c r="B7" s="63" t="s">
        <v>517</v>
      </c>
      <c r="C7" s="267" t="s">
        <v>154</v>
      </c>
      <c r="D7" s="267">
        <v>4</v>
      </c>
      <c r="E7" s="65"/>
      <c r="F7" s="48" t="s">
        <v>342</v>
      </c>
      <c r="G7" s="50" t="s">
        <v>157</v>
      </c>
      <c r="H7" s="50">
        <v>1</v>
      </c>
      <c r="I7" s="50" t="s">
        <v>155</v>
      </c>
      <c r="J7" s="66" t="s">
        <v>343</v>
      </c>
      <c r="K7" s="250" t="s">
        <v>156</v>
      </c>
      <c r="L7" s="250">
        <v>2</v>
      </c>
      <c r="M7" s="68" t="s">
        <v>155</v>
      </c>
      <c r="N7" s="58" t="s">
        <v>521</v>
      </c>
      <c r="O7" s="268" t="s">
        <v>154</v>
      </c>
      <c r="P7" s="268">
        <v>3</v>
      </c>
      <c r="Q7" s="268"/>
      <c r="R7" s="72" t="s">
        <v>538</v>
      </c>
      <c r="S7" s="289" t="s">
        <v>154</v>
      </c>
      <c r="T7" s="289">
        <v>4</v>
      </c>
      <c r="U7" s="289"/>
      <c r="V7" s="69" t="s">
        <v>514</v>
      </c>
      <c r="W7" s="288" t="s">
        <v>154</v>
      </c>
      <c r="X7" s="288">
        <v>4</v>
      </c>
      <c r="Y7" s="288" t="s">
        <v>155</v>
      </c>
      <c r="Z7" s="26" t="s">
        <v>348</v>
      </c>
      <c r="AA7" s="28" t="s">
        <v>156</v>
      </c>
      <c r="AB7" s="28">
        <v>1</v>
      </c>
      <c r="AC7" s="28"/>
      <c r="AD7" s="53"/>
      <c r="AE7" s="55"/>
      <c r="AF7" s="55"/>
      <c r="AG7" s="55"/>
      <c r="AI7" s="72"/>
      <c r="AJ7" s="289"/>
      <c r="AK7" s="289"/>
      <c r="AL7" s="289"/>
      <c r="AM7" s="135" t="str">
        <f>IF((B7&lt;&gt;""),"[br]"&amp;IF(E7="у","[strike]","")&amp;$A7&amp;". "&amp;B7&amp;" ("&amp;VLOOKUP(C7,База!$A$13:$B$17,2,0)&amp;" "&amp;D7&amp;" ур.)"&amp;IF(E7="у","[/strike] (цена реорганизации: "&amp;D7*База!$I$2&amp;")","")&amp;IF(D7&lt;AN7," (цена апгрейда: "&amp;(AN7-D7)*База!$I$3&amp;")",""),"")&amp;AM8</f>
        <v>[br]4. 2й авиаполк (авиация 4 ур.)[br]5. 3я катюша (поддержка 4 ур.)[br]6.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7" s="135">
        <f t="shared" si="1"/>
        <v>4</v>
      </c>
      <c r="AO7" s="135">
        <f t="shared" si="2"/>
        <v>0</v>
      </c>
      <c r="AP7" s="135"/>
      <c r="AQ7" s="135" t="str">
        <f>IF((F7&lt;&gt;""),"[br]"&amp;IF(I7="у","[strike]","")&amp;$A7&amp;". "&amp;F7&amp;" ("&amp;VLOOKUP(G7,База!$A$13:$B$17,2,0)&amp;" "&amp;H7&amp;" ур.)"&amp;IF(I7="у","[/strike] (цена реорганизации: "&amp;H7*База!$I$2&amp;")","")&amp;IF(H7&lt;AR7," (цена апгрейда: "&amp;(AR7-H7)*База!$I$3&amp;")",""),"")&amp;AQ8</f>
        <v>[br][strike]4. 2е триарии (заградит. 1 ур.)[/strike] (цена реорганизации: 2) (цена апгрейда: 4)[br][strike]5. 3и триарии (заградит. 2 ур.)[/strike] (цена реорганизации: 4)[br][strike]6. 4е триарии (заградит. 2 ур.)[/strike] (цена реорганизации: 4)[br]7. 5е триарии (заградит. 2 ур.)[br]8. 6е триарии (заградит. 2 ур.)[br]9. 3я ватага (пехотное 1 ур.)</v>
      </c>
      <c r="AR7" s="135">
        <f t="shared" si="3"/>
        <v>2</v>
      </c>
      <c r="AS7" s="135">
        <f t="shared" si="4"/>
        <v>1</v>
      </c>
      <c r="AT7" s="135"/>
      <c r="AU7" s="135" t="str">
        <f>IF((J7&lt;&gt;""),"[br]"&amp;IF(M7="у","[strike]","")&amp;$A7&amp;". "&amp;J7&amp;" ("&amp;VLOOKUP(K7,База!$A$13:$B$17,2,0)&amp;" "&amp;L7&amp;" ур.)"&amp;IF(M7="у","[/strike] (цена реорганизации: "&amp;L7*База!$I$2&amp;")","")&amp;IF(L7&lt;AV7," (цена апгрейда: "&amp;(AV7-L7)*База!$I$3&amp;")",""),"")&amp;AU8</f>
        <v>[br][strike]4. 2е рыцари (мобильное 2 ур.)[/strike] (цена реорганизации: 4)[br][strike]5. 3и рыцари (мобильное 2 ур.)[/strike] (цена реорганизации: 4)[br][strike]6.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</v>
      </c>
      <c r="AV7" s="135">
        <f t="shared" si="5"/>
        <v>2</v>
      </c>
      <c r="AW7" s="135">
        <f t="shared" si="6"/>
        <v>0</v>
      </c>
      <c r="AX7" s="135"/>
      <c r="AY7" s="247" t="str">
        <f>IF((N7&lt;&gt;""),"[br]"&amp;IF(Q7="у","[strike]","")&amp;$A7&amp;". "&amp;N7&amp;" ("&amp;VLOOKUP(O7,База!$A$13:$B$17,2,0)&amp;" "&amp;P7&amp;" ур.)"&amp;IF(Q7="у","[/strike] (цена реорганизации: "&amp;P7*База!$I$2&amp;")","")&amp;IF(P7&lt;AZ7," (цена апгрейда: "&amp;(AZ7-P7)*База!$I$3&amp;")",""),"")&amp;AY8</f>
        <v>[br]4. 8е бипланы (авиация 3 ур.)[br]5. 9е бипланы (авиация 3 ур.)[br]6.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7" s="247">
        <f t="shared" si="7"/>
        <v>3</v>
      </c>
      <c r="BA7" s="247">
        <f t="shared" si="8"/>
        <v>0</v>
      </c>
      <c r="BB7" s="135"/>
      <c r="BC7" s="135" t="str">
        <f>IF((R7&lt;&gt;""),"[br]"&amp;IF(U7="у","[strike]","")&amp;$A7&amp;". "&amp;R7&amp;" ("&amp;VLOOKUP(S7,База!$A$13:$B$17,2,0)&amp;" "&amp;T7&amp;" ур.)"&amp;IF(U7="у","[/strike] (цена реорганизации: "&amp;T7*База!$I$2&amp;")","")&amp;IF(T7&lt;BD7," (цена апгрейда: "&amp;(BD7-T7)*База!$I$3&amp;")",""),"")&amp;BC8</f>
        <v>[br]4. 2й полк Чженду J-20 "Морской орел" (авиация 4 ур.)[br]5. 9я батарея (поддержка 4 ур.)[br]6.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7" s="135">
        <f t="shared" si="9"/>
        <v>4</v>
      </c>
      <c r="BE7" s="135">
        <f t="shared" si="10"/>
        <v>0</v>
      </c>
      <c r="BF7" s="135"/>
      <c r="BG7" s="135" t="str">
        <f>IF((V7&lt;&gt;""),"[br]"&amp;IF(Y7="у","[strike]","")&amp;$A7&amp;". "&amp;V7&amp;" ("&amp;VLOOKUP(W7,База!$A$13:$B$17,2,0)&amp;" "&amp;X7&amp;" ур.)"&amp;IF(Y7="у","[/strike] (цена реорганизации: "&amp;X7*База!$I$2&amp;")","")&amp;IF(X7&lt;BH7," (цена апгрейда: "&amp;(BH7-X7)*База!$I$3&amp;")",""),"")&amp;BG8</f>
        <v>[br][strike]4. 8я эскадрилья (авиация 4 ур.)[/strike] (цена реорганизации: 8)[br][strike]5. 8я ватага (пехотное 1 ур.)[/strike] (цена реорганизации: 2)[br][strike]6.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7" s="135">
        <f t="shared" si="11"/>
        <v>4</v>
      </c>
      <c r="BI7" s="135">
        <f t="shared" si="12"/>
        <v>0</v>
      </c>
      <c r="BJ7" s="135"/>
      <c r="BK7" s="135" t="str">
        <f>IF((Z7&lt;&gt;""),"[br]"&amp;IF(AC7="у","[strike]","")&amp;$A7&amp;". "&amp;Z7&amp;" ("&amp;VLOOKUP(AA7,База!$A$13:$B$17,2,0)&amp;" "&amp;AB7&amp;" ур.)"&amp;IF(AC7="у","[/strike] (цена реорганизации: "&amp;AB7*База!$I$2&amp;")","")&amp;IF(AB7&lt;BL7," (цена апгрейда: "&amp;(BL7-AB7)*База!$I$3&amp;")",""),"")&amp;BK8</f>
        <v>[br]4. верблюжатники (мобильное 1 ур.)[br]5. 4я ватага (пехотное 3 ур.)[br]6. арбалетчики (поддержка 2 ур.)[br]7. 1е копейщики (заградит. 1 ур.)[br]8. 1е бипланы (авиация 3 ур.)</v>
      </c>
      <c r="BL7" s="135">
        <f t="shared" si="13"/>
        <v>0</v>
      </c>
      <c r="BM7" s="135">
        <f t="shared" si="14"/>
        <v>0</v>
      </c>
      <c r="BN7" s="135"/>
      <c r="BO7" s="135" t="str">
        <f>IF((AD7&lt;&gt;""),"[br]"&amp;IF(AG7="у","[strike]","")&amp;$A7&amp;". "&amp;AD7&amp;" ("&amp;VLOOKUP(AE7,База!$A$13:$B$17,2,0)&amp;" "&amp;AF7&amp;" ур.)"&amp;IF(AG7="у","[/strike] (цена реорганизации: "&amp;AF7*База!$I$2&amp;")","")&amp;IF(AF7&lt;BP7," (цена апгрейда: "&amp;(BP7-AF7)*База!$I$3&amp;")",""),"")&amp;BO8</f>
        <v/>
      </c>
      <c r="BP7" s="135">
        <f t="shared" si="15"/>
        <v>0</v>
      </c>
      <c r="BQ7" s="135">
        <f t="shared" si="16"/>
        <v>0</v>
      </c>
      <c r="BR7" s="135"/>
    </row>
    <row r="8" spans="1:70" x14ac:dyDescent="0.25">
      <c r="A8">
        <v>5</v>
      </c>
      <c r="B8" s="63" t="s">
        <v>570</v>
      </c>
      <c r="C8" s="267" t="s">
        <v>158</v>
      </c>
      <c r="D8" s="267">
        <v>4</v>
      </c>
      <c r="E8" s="65" t="s">
        <v>622</v>
      </c>
      <c r="F8" s="48" t="s">
        <v>452</v>
      </c>
      <c r="G8" s="50" t="s">
        <v>157</v>
      </c>
      <c r="H8" s="50">
        <v>2</v>
      </c>
      <c r="I8" s="50" t="s">
        <v>155</v>
      </c>
      <c r="J8" s="66" t="s">
        <v>463</v>
      </c>
      <c r="K8" s="250" t="s">
        <v>156</v>
      </c>
      <c r="L8" s="250">
        <v>2</v>
      </c>
      <c r="M8" s="68" t="s">
        <v>155</v>
      </c>
      <c r="N8" s="58" t="s">
        <v>522</v>
      </c>
      <c r="O8" s="268" t="s">
        <v>154</v>
      </c>
      <c r="P8" s="268">
        <v>3</v>
      </c>
      <c r="Q8" s="268"/>
      <c r="R8" s="72" t="s">
        <v>575</v>
      </c>
      <c r="S8" s="289" t="s">
        <v>158</v>
      </c>
      <c r="T8" s="289">
        <v>4</v>
      </c>
      <c r="U8" s="289"/>
      <c r="V8" s="69" t="s">
        <v>617</v>
      </c>
      <c r="W8" s="288" t="s">
        <v>153</v>
      </c>
      <c r="X8" s="288">
        <v>1</v>
      </c>
      <c r="Y8" s="288" t="s">
        <v>155</v>
      </c>
      <c r="Z8" s="26" t="s">
        <v>353</v>
      </c>
      <c r="AA8" s="28" t="s">
        <v>153</v>
      </c>
      <c r="AB8" s="28">
        <v>3</v>
      </c>
      <c r="AC8" s="28"/>
      <c r="AD8" s="53"/>
      <c r="AE8" s="55"/>
      <c r="AF8" s="55"/>
      <c r="AG8" s="55"/>
      <c r="AI8" s="72"/>
      <c r="AJ8" s="289"/>
      <c r="AK8" s="289"/>
      <c r="AL8" s="289"/>
      <c r="AM8" s="135" t="str">
        <f>IF((B8&lt;&gt;""),"[br]"&amp;IF(E8="у","[strike]","")&amp;$A8&amp;". "&amp;B8&amp;" ("&amp;VLOOKUP(C8,База!$A$13:$B$17,2,0)&amp;" "&amp;D8&amp;" ур.)"&amp;IF(E8="у","[/strike] (цена реорганизации: "&amp;D8*База!$I$2&amp;")","")&amp;IF(D8&lt;AN8," (цена апгрейда: "&amp;(AN8-D8)*База!$I$3&amp;")",""),"")&amp;AM9</f>
        <v>[br]5. 3я катюша (поддержка 4 ур.)[br]6.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8" s="135">
        <f t="shared" si="1"/>
        <v>4</v>
      </c>
      <c r="AO8" s="135">
        <f t="shared" si="2"/>
        <v>0</v>
      </c>
      <c r="AP8" s="135"/>
      <c r="AQ8" s="135" t="str">
        <f>IF((F8&lt;&gt;""),"[br]"&amp;IF(I8="у","[strike]","")&amp;$A8&amp;". "&amp;F8&amp;" ("&amp;VLOOKUP(G8,База!$A$13:$B$17,2,0)&amp;" "&amp;H8&amp;" ур.)"&amp;IF(I8="у","[/strike] (цена реорганизации: "&amp;H8*База!$I$2&amp;")","")&amp;IF(H8&lt;AR8," (цена апгрейда: "&amp;(AR8-H8)*База!$I$3&amp;")",""),"")&amp;AQ9</f>
        <v>[br][strike]5. 3и триарии (заградит. 2 ур.)[/strike] (цена реорганизации: 4)[br][strike]6. 4е триарии (заградит. 2 ур.)[/strike] (цена реорганизации: 4)[br]7. 5е триарии (заградит. 2 ур.)[br]8. 6е триарии (заградит. 2 ур.)[br]9. 3я ватага (пехотное 1 ур.)</v>
      </c>
      <c r="AR8" s="135">
        <f t="shared" si="3"/>
        <v>2</v>
      </c>
      <c r="AS8" s="135">
        <f t="shared" si="4"/>
        <v>0</v>
      </c>
      <c r="AT8" s="135"/>
      <c r="AU8" s="135" t="str">
        <f>IF((J8&lt;&gt;""),"[br]"&amp;IF(M8="у","[strike]","")&amp;$A8&amp;". "&amp;J8&amp;" ("&amp;VLOOKUP(K8,База!$A$13:$B$17,2,0)&amp;" "&amp;L8&amp;" ур.)"&amp;IF(M8="у","[/strike] (цена реорганизации: "&amp;L8*База!$I$2&amp;")","")&amp;IF(L8&lt;AV8," (цена апгрейда: "&amp;(AV8-L8)*База!$I$3&amp;")",""),"")&amp;AU9</f>
        <v>[br][strike]5. 3и рыцари (мобильное 2 ур.)[/strike] (цена реорганизации: 4)[br][strike]6.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</v>
      </c>
      <c r="AV8" s="135">
        <f t="shared" si="5"/>
        <v>2</v>
      </c>
      <c r="AW8" s="135">
        <f t="shared" si="6"/>
        <v>0</v>
      </c>
      <c r="AX8" s="135"/>
      <c r="AY8" s="247" t="str">
        <f>IF((N8&lt;&gt;""),"[br]"&amp;IF(Q8="у","[strike]","")&amp;$A8&amp;". "&amp;N8&amp;" ("&amp;VLOOKUP(O8,База!$A$13:$B$17,2,0)&amp;" "&amp;P8&amp;" ур.)"&amp;IF(Q8="у","[/strike] (цена реорганизации: "&amp;P8*База!$I$2&amp;")","")&amp;IF(P8&lt;AZ8," (цена апгрейда: "&amp;(AZ8-P8)*База!$I$3&amp;")",""),"")&amp;AY9</f>
        <v>[br]5. 9е бипланы (авиация 3 ур.)[br]6.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8" s="247">
        <f t="shared" si="7"/>
        <v>3</v>
      </c>
      <c r="BA8" s="247">
        <f t="shared" si="8"/>
        <v>0</v>
      </c>
      <c r="BB8" s="135"/>
      <c r="BC8" s="135" t="str">
        <f>IF((R8&lt;&gt;""),"[br]"&amp;IF(U8="у","[strike]","")&amp;$A8&amp;". "&amp;R8&amp;" ("&amp;VLOOKUP(S8,База!$A$13:$B$17,2,0)&amp;" "&amp;T8&amp;" ур.)"&amp;IF(U8="у","[/strike] (цена реорганизации: "&amp;T8*База!$I$2&amp;")","")&amp;IF(T8&lt;BD8," (цена апгрейда: "&amp;(BD8-T8)*База!$I$3&amp;")",""),"")&amp;BC9</f>
        <v>[br]5. 9я батарея (поддержка 4 ур.)[br]6.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8" s="135">
        <f t="shared" si="9"/>
        <v>4</v>
      </c>
      <c r="BE8" s="135">
        <f t="shared" si="10"/>
        <v>0</v>
      </c>
      <c r="BF8" s="135"/>
      <c r="BG8" s="135" t="str">
        <f>IF((V8&lt;&gt;""),"[br]"&amp;IF(Y8="у","[strike]","")&amp;$A8&amp;". "&amp;V8&amp;" ("&amp;VLOOKUP(W8,База!$A$13:$B$17,2,0)&amp;" "&amp;X8&amp;" ур.)"&amp;IF(Y8="у","[/strike] (цена реорганизации: "&amp;X8*База!$I$2&amp;")","")&amp;IF(X8&lt;BH8," (цена апгрейда: "&amp;(BH8-X8)*База!$I$3&amp;")",""),"")&amp;BG9</f>
        <v>[br][strike]5. 8я ватага (пехотное 1 ур.)[/strike] (цена реорганизации: 2)[br][strike]6.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8" s="135">
        <f t="shared" si="11"/>
        <v>1</v>
      </c>
      <c r="BI8" s="135">
        <f t="shared" si="12"/>
        <v>0</v>
      </c>
      <c r="BJ8" s="135"/>
      <c r="BK8" s="135" t="str">
        <f>IF((Z8&lt;&gt;""),"[br]"&amp;IF(AC8="у","[strike]","")&amp;$A8&amp;". "&amp;Z8&amp;" ("&amp;VLOOKUP(AA8,База!$A$13:$B$17,2,0)&amp;" "&amp;AB8&amp;" ур.)"&amp;IF(AC8="у","[/strike] (цена реорганизации: "&amp;AB8*База!$I$2&amp;")","")&amp;IF(AB8&lt;BL8," (цена апгрейда: "&amp;(BL8-AB8)*База!$I$3&amp;")",""),"")&amp;BK9</f>
        <v>[br]5. 4я ватага (пехотное 3 ур.)[br]6. арбалетчики (поддержка 2 ур.)[br]7. 1е копейщики (заградит. 1 ур.)[br]8. 1е бипланы (авиация 3 ур.)</v>
      </c>
      <c r="BL8" s="135">
        <f t="shared" si="13"/>
        <v>3</v>
      </c>
      <c r="BM8" s="135">
        <f t="shared" si="14"/>
        <v>0</v>
      </c>
      <c r="BN8" s="135"/>
      <c r="BO8" s="135" t="str">
        <f>IF((AD8&lt;&gt;""),"[br]"&amp;IF(AG8="у","[strike]","")&amp;$A8&amp;". "&amp;AD8&amp;" ("&amp;VLOOKUP(AE8,База!$A$13:$B$17,2,0)&amp;" "&amp;AF8&amp;" ур.)"&amp;IF(AG8="у","[/strike] (цена реорганизации: "&amp;AF8*База!$I$2&amp;")","")&amp;IF(AF8&lt;BP8," (цена апгрейда: "&amp;(BP8-AF8)*База!$I$3&amp;")",""),"")&amp;BO9</f>
        <v/>
      </c>
      <c r="BP8" s="135">
        <f t="shared" si="15"/>
        <v>0</v>
      </c>
      <c r="BQ8" s="135">
        <f t="shared" si="16"/>
        <v>0</v>
      </c>
    </row>
    <row r="9" spans="1:70" x14ac:dyDescent="0.25">
      <c r="A9">
        <v>6</v>
      </c>
      <c r="B9" s="63" t="s">
        <v>518</v>
      </c>
      <c r="C9" s="267" t="s">
        <v>154</v>
      </c>
      <c r="D9" s="267">
        <v>4</v>
      </c>
      <c r="E9" s="267"/>
      <c r="F9" s="48" t="s">
        <v>453</v>
      </c>
      <c r="G9" s="50" t="s">
        <v>157</v>
      </c>
      <c r="H9" s="50">
        <v>2</v>
      </c>
      <c r="I9" s="50" t="s">
        <v>155</v>
      </c>
      <c r="J9" s="66" t="s">
        <v>476</v>
      </c>
      <c r="K9" s="250" t="s">
        <v>156</v>
      </c>
      <c r="L9" s="250">
        <v>2</v>
      </c>
      <c r="M9" s="68" t="s">
        <v>155</v>
      </c>
      <c r="N9" s="58" t="s">
        <v>507</v>
      </c>
      <c r="O9" s="268" t="s">
        <v>154</v>
      </c>
      <c r="P9" s="268">
        <v>3</v>
      </c>
      <c r="Q9" s="268"/>
      <c r="R9" s="72" t="s">
        <v>539</v>
      </c>
      <c r="S9" s="289" t="s">
        <v>154</v>
      </c>
      <c r="T9" s="289">
        <v>4</v>
      </c>
      <c r="U9" s="289"/>
      <c r="V9" s="69" t="s">
        <v>621</v>
      </c>
      <c r="W9" s="288" t="s">
        <v>158</v>
      </c>
      <c r="X9" s="288">
        <v>4</v>
      </c>
      <c r="Y9" s="288" t="s">
        <v>155</v>
      </c>
      <c r="Z9" s="26" t="s">
        <v>492</v>
      </c>
      <c r="AA9" s="28" t="s">
        <v>158</v>
      </c>
      <c r="AB9" s="28">
        <v>2</v>
      </c>
      <c r="AC9" s="28"/>
      <c r="AD9" s="53"/>
      <c r="AE9" s="55"/>
      <c r="AF9" s="55"/>
      <c r="AG9" s="55"/>
      <c r="AI9" s="72"/>
      <c r="AJ9" s="289"/>
      <c r="AK9" s="289"/>
      <c r="AL9" s="289"/>
      <c r="AM9" s="135" t="str">
        <f>IF((B9&lt;&gt;""),"[br]"&amp;IF(E9="у","[strike]","")&amp;$A9&amp;". "&amp;B9&amp;" ("&amp;VLOOKUP(C9,База!$A$13:$B$17,2,0)&amp;" "&amp;D9&amp;" ур.)"&amp;IF(E9="у","[/strike] (цена реорганизации: "&amp;D9*База!$I$2&amp;")","")&amp;IF(D9&lt;AN9," (цена апгрейда: "&amp;(AN9-D9)*База!$I$3&amp;")",""),"")&amp;AM10</f>
        <v>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9" s="135">
        <f t="shared" si="1"/>
        <v>4</v>
      </c>
      <c r="AO9" s="135">
        <f t="shared" si="2"/>
        <v>0</v>
      </c>
      <c r="AP9" s="135"/>
      <c r="AQ9" s="135" t="str">
        <f>IF((F9&lt;&gt;""),"[br]"&amp;IF(I9="у","[strike]","")&amp;$A9&amp;". "&amp;F9&amp;" ("&amp;VLOOKUP(G9,База!$A$13:$B$17,2,0)&amp;" "&amp;H9&amp;" ур.)"&amp;IF(I9="у","[/strike] (цена реорганизации: "&amp;H9*База!$I$2&amp;")","")&amp;IF(H9&lt;AR9," (цена апгрейда: "&amp;(AR9-H9)*База!$I$3&amp;")",""),"")&amp;AQ10</f>
        <v>[br][strike]6. 4е триарии (заградит. 2 ур.)[/strike] (цена реорганизации: 4)[br]7. 5е триарии (заградит. 2 ур.)[br]8. 6е триарии (заградит. 2 ур.)[br]9. 3я ватага (пехотное 1 ур.)</v>
      </c>
      <c r="AR9" s="135">
        <f t="shared" si="3"/>
        <v>2</v>
      </c>
      <c r="AS9" s="135">
        <f t="shared" si="4"/>
        <v>0</v>
      </c>
      <c r="AT9" s="135"/>
      <c r="AU9" s="135" t="str">
        <f>IF((J9&lt;&gt;""),"[br]"&amp;IF(M9="у","[strike]","")&amp;$A9&amp;". "&amp;J9&amp;" ("&amp;VLOOKUP(K9,База!$A$13:$B$17,2,0)&amp;" "&amp;L9&amp;" ур.)"&amp;IF(M9="у","[/strike] (цена реорганизации: "&amp;L9*База!$I$2&amp;")","")&amp;IF(L9&lt;AV9," (цена апгрейда: "&amp;(AV9-L9)*База!$I$3&amp;")",""),"")&amp;AU10</f>
        <v>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</v>
      </c>
      <c r="AV9" s="135">
        <f t="shared" si="5"/>
        <v>2</v>
      </c>
      <c r="AW9" s="135">
        <f t="shared" si="6"/>
        <v>0</v>
      </c>
      <c r="AX9" s="135"/>
      <c r="AY9" s="247" t="str">
        <f>IF((N9&lt;&gt;""),"[br]"&amp;IF(Q9="у","[strike]","")&amp;$A9&amp;". "&amp;N9&amp;" ("&amp;VLOOKUP(O9,База!$A$13:$B$17,2,0)&amp;" "&amp;P9&amp;" ур.)"&amp;IF(Q9="у","[/strike] (цена реорганизации: "&amp;P9*База!$I$2&amp;")","")&amp;IF(P9&lt;AZ9," (цена апгрейда: "&amp;(AZ9-P9)*База!$I$3&amp;")",""),"")&amp;AY10</f>
        <v>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9" s="247">
        <f t="shared" si="7"/>
        <v>3</v>
      </c>
      <c r="BA9" s="247">
        <f t="shared" si="8"/>
        <v>0</v>
      </c>
      <c r="BB9" s="135"/>
      <c r="BC9" s="135" t="str">
        <f>IF((R9&lt;&gt;""),"[br]"&amp;IF(U9="у","[strike]","")&amp;$A9&amp;". "&amp;R9&amp;" ("&amp;VLOOKUP(S9,База!$A$13:$B$17,2,0)&amp;" "&amp;T9&amp;" ур.)"&amp;IF(U9="у","[/strike] (цена реорганизации: "&amp;T9*База!$I$2&amp;")","")&amp;IF(T9&lt;BD9," (цена апгрейда: "&amp;(BD9-T9)*База!$I$3&amp;")",""),"")&amp;BC10</f>
        <v>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9" s="135">
        <f t="shared" si="9"/>
        <v>4</v>
      </c>
      <c r="BE9" s="135">
        <f t="shared" si="10"/>
        <v>0</v>
      </c>
      <c r="BF9" s="135"/>
      <c r="BG9" s="135" t="str">
        <f>IF((V9&lt;&gt;""),"[br]"&amp;IF(Y9="у","[strike]","")&amp;$A9&amp;". "&amp;V9&amp;" ("&amp;VLOOKUP(W9,База!$A$13:$B$17,2,0)&amp;" "&amp;X9&amp;" ур.)"&amp;IF(Y9="у","[/strike] (цена реорганизации: "&amp;X9*База!$I$2&amp;")","")&amp;IF(X9&lt;BH9," (цена апгрейда: "&amp;(BH9-X9)*База!$I$3&amp;")",""),"")&amp;BG10</f>
        <v>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9" s="135">
        <f t="shared" si="11"/>
        <v>4</v>
      </c>
      <c r="BI9" s="135">
        <f t="shared" si="12"/>
        <v>0</v>
      </c>
      <c r="BJ9" s="135"/>
      <c r="BK9" s="135" t="str">
        <f>IF((Z9&lt;&gt;""),"[br]"&amp;IF(AC9="у","[strike]","")&amp;$A9&amp;". "&amp;Z9&amp;" ("&amp;VLOOKUP(AA9,База!$A$13:$B$17,2,0)&amp;" "&amp;AB9&amp;" ур.)"&amp;IF(AC9="у","[/strike] (цена реорганизации: "&amp;AB9*База!$I$2&amp;")","")&amp;IF(AB9&lt;BL9," (цена апгрейда: "&amp;(BL9-AB9)*База!$I$3&amp;")",""),"")&amp;BK10</f>
        <v>[br]6. арбалетчики (поддержка 2 ур.)[br]7. 1е копейщики (заградит. 1 ур.)[br]8. 1е бипланы (авиация 3 ур.)</v>
      </c>
      <c r="BL9" s="135">
        <f t="shared" si="13"/>
        <v>2</v>
      </c>
      <c r="BM9" s="135">
        <f t="shared" si="14"/>
        <v>0</v>
      </c>
      <c r="BN9" s="135"/>
      <c r="BO9" s="135" t="str">
        <f>IF((AD9&lt;&gt;""),"[br]"&amp;IF(AG9="у","[strike]","")&amp;$A9&amp;". "&amp;AD9&amp;" ("&amp;VLOOKUP(AE9,База!$A$13:$B$17,2,0)&amp;" "&amp;AF9&amp;" ур.)"&amp;IF(AG9="у","[/strike] (цена реорганизации: "&amp;AF9*База!$I$2&amp;")","")&amp;IF(AF9&lt;BP9," (цена апгрейда: "&amp;(BP9-AF9)*База!$I$3&amp;")",""),"")&amp;BO10</f>
        <v/>
      </c>
      <c r="BP9" s="135">
        <f t="shared" si="15"/>
        <v>0</v>
      </c>
      <c r="BQ9" s="135">
        <f t="shared" si="16"/>
        <v>0</v>
      </c>
    </row>
    <row r="10" spans="1:70" x14ac:dyDescent="0.25">
      <c r="A10">
        <v>7</v>
      </c>
      <c r="B10" s="63" t="s">
        <v>523</v>
      </c>
      <c r="C10" s="267" t="s">
        <v>153</v>
      </c>
      <c r="D10" s="267">
        <v>3</v>
      </c>
      <c r="E10" s="267"/>
      <c r="F10" s="48" t="s">
        <v>469</v>
      </c>
      <c r="G10" s="50" t="s">
        <v>157</v>
      </c>
      <c r="H10" s="50">
        <v>2</v>
      </c>
      <c r="I10" s="50"/>
      <c r="J10" s="66" t="s">
        <v>466</v>
      </c>
      <c r="K10" s="250" t="s">
        <v>153</v>
      </c>
      <c r="L10" s="250">
        <v>2</v>
      </c>
      <c r="M10" s="68" t="s">
        <v>155</v>
      </c>
      <c r="N10" s="58" t="s">
        <v>505</v>
      </c>
      <c r="O10" s="268" t="s">
        <v>154</v>
      </c>
      <c r="P10" s="268">
        <v>3</v>
      </c>
      <c r="Q10" s="268" t="s">
        <v>155</v>
      </c>
      <c r="R10" s="72" t="s">
        <v>577</v>
      </c>
      <c r="S10" s="289" t="s">
        <v>153</v>
      </c>
      <c r="T10" s="289">
        <v>3</v>
      </c>
      <c r="U10" s="289"/>
      <c r="V10" s="69" t="s">
        <v>584</v>
      </c>
      <c r="W10" s="288" t="s">
        <v>154</v>
      </c>
      <c r="X10" s="288">
        <v>4</v>
      </c>
      <c r="Y10" s="288" t="s">
        <v>155</v>
      </c>
      <c r="Z10" s="26" t="s">
        <v>356</v>
      </c>
      <c r="AA10" s="28" t="s">
        <v>157</v>
      </c>
      <c r="AB10" s="28">
        <v>1</v>
      </c>
      <c r="AC10" s="28"/>
      <c r="AD10" s="53"/>
      <c r="AE10" s="55"/>
      <c r="AF10" s="55"/>
      <c r="AG10" s="55"/>
      <c r="AI10" s="72"/>
      <c r="AJ10" s="289"/>
      <c r="AK10" s="289"/>
      <c r="AL10" s="289"/>
      <c r="AM10" s="135" t="str">
        <f>IF((B10&lt;&gt;""),"[br]"&amp;IF(E10="у","[strike]","")&amp;$A10&amp;". "&amp;B10&amp;" ("&amp;VLOOKUP(C10,База!$A$13:$B$17,2,0)&amp;" "&amp;D10&amp;" ур.)"&amp;IF(E10="у","[/strike] (цена реорганизации: "&amp;D10*База!$I$2&amp;")","")&amp;IF(D10&lt;AN10," (цена апгрейда: "&amp;(AN10-D10)*База!$I$3&amp;")",""),"")&amp;AM11</f>
        <v>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0" s="135">
        <f t="shared" si="1"/>
        <v>3</v>
      </c>
      <c r="AO10" s="135">
        <f t="shared" si="2"/>
        <v>0</v>
      </c>
      <c r="AP10" s="135"/>
      <c r="AQ10" s="135" t="str">
        <f>IF((F10&lt;&gt;""),"[br]"&amp;IF(I10="у","[strike]","")&amp;$A10&amp;". "&amp;F10&amp;" ("&amp;VLOOKUP(G10,База!$A$13:$B$17,2,0)&amp;" "&amp;H10&amp;" ур.)"&amp;IF(I10="у","[/strike] (цена реорганизации: "&amp;H10*База!$I$2&amp;")","")&amp;IF(H10&lt;AR10," (цена апгрейда: "&amp;(AR10-H10)*База!$I$3&amp;")",""),"")&amp;AQ11</f>
        <v>[br]7. 5е триарии (заградит. 2 ур.)[br]8. 6е триарии (заградит. 2 ур.)[br]9. 3я ватага (пехотное 1 ур.)</v>
      </c>
      <c r="AR10" s="135">
        <f t="shared" si="3"/>
        <v>2</v>
      </c>
      <c r="AS10" s="135">
        <f t="shared" si="4"/>
        <v>0</v>
      </c>
      <c r="AT10" s="135"/>
      <c r="AU10" s="135" t="str">
        <f>IF((J10&lt;&gt;""),"[br]"&amp;IF(M10="у","[strike]","")&amp;$A10&amp;". "&amp;J10&amp;" ("&amp;VLOOKUP(K10,База!$A$13:$B$17,2,0)&amp;" "&amp;L10&amp;" ур.)"&amp;IF(M10="у","[/strike] (цена реорганизации: "&amp;L10*База!$I$2&amp;")","")&amp;IF(L10&lt;AV10," (цена апгрейда: "&amp;(AV10-L10)*База!$I$3&amp;")",""),"")&amp;AU11</f>
        <v>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</v>
      </c>
      <c r="AV10" s="135">
        <f t="shared" si="5"/>
        <v>1</v>
      </c>
      <c r="AW10" s="135">
        <f t="shared" si="6"/>
        <v>0</v>
      </c>
      <c r="AX10" s="135"/>
      <c r="AY10" s="247" t="str">
        <f>IF((N10&lt;&gt;""),"[br]"&amp;IF(Q10="у","[strike]","")&amp;$A10&amp;". "&amp;N10&amp;" ("&amp;VLOOKUP(O10,База!$A$13:$B$17,2,0)&amp;" "&amp;P10&amp;" ур.)"&amp;IF(Q10="у","[/strike] (цена реорганизации: "&amp;P10*База!$I$2&amp;")","")&amp;IF(P10&lt;AZ10," (цена апгрейда: "&amp;(AZ10-P10)*База!$I$3&amp;")",""),"")&amp;AY11</f>
        <v>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0" s="247">
        <f t="shared" si="7"/>
        <v>3</v>
      </c>
      <c r="BA10" s="247">
        <f t="shared" si="8"/>
        <v>0</v>
      </c>
      <c r="BB10" s="135"/>
      <c r="BC10" s="135" t="str">
        <f>IF((R10&lt;&gt;""),"[br]"&amp;IF(U10="у","[strike]","")&amp;$A10&amp;". "&amp;R10&amp;" ("&amp;VLOOKUP(S10,База!$A$13:$B$17,2,0)&amp;" "&amp;T10&amp;" ур.)"&amp;IF(U10="у","[/strike] (цена реорганизации: "&amp;T10*База!$I$2&amp;")","")&amp;IF(T10&lt;BD10," (цена апгрейда: "&amp;(BD10-T10)*База!$I$3&amp;")",""),"")&amp;BC11</f>
        <v>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0" s="135">
        <f t="shared" si="9"/>
        <v>3</v>
      </c>
      <c r="BE10" s="135">
        <f t="shared" si="10"/>
        <v>0</v>
      </c>
      <c r="BF10" s="135"/>
      <c r="BG10" s="135" t="str">
        <f>IF((V10&lt;&gt;""),"[br]"&amp;IF(Y10="у","[strike]","")&amp;$A10&amp;". "&amp;V10&amp;" ("&amp;VLOOKUP(W10,База!$A$13:$B$17,2,0)&amp;" "&amp;X10&amp;" ур.)"&amp;IF(Y10="у","[/strike] (цена реорганизации: "&amp;X10*База!$I$2&amp;")","")&amp;IF(X10&lt;BH10," (цена апгрейда: "&amp;(BH10-X10)*База!$I$3&amp;")",""),"")&amp;BG11</f>
        <v>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0" s="135">
        <f t="shared" si="11"/>
        <v>4</v>
      </c>
      <c r="BI10" s="135">
        <f t="shared" si="12"/>
        <v>0</v>
      </c>
      <c r="BJ10" s="135"/>
      <c r="BK10" s="135" t="str">
        <f>IF((Z10&lt;&gt;""),"[br]"&amp;IF(AC10="у","[strike]","")&amp;$A10&amp;". "&amp;Z10&amp;" ("&amp;VLOOKUP(AA10,База!$A$13:$B$17,2,0)&amp;" "&amp;AB10&amp;" ур.)"&amp;IF(AC10="у","[/strike] (цена реорганизации: "&amp;AB10*База!$I$2&amp;")","")&amp;IF(AB10&lt;BL10," (цена апгрейда: "&amp;(BL10-AB10)*База!$I$3&amp;")",""),"")&amp;BK11</f>
        <v>[br]7. 1е копейщики (заградит. 1 ур.)[br]8. 1е бипланы (авиация 3 ур.)</v>
      </c>
      <c r="BL10" s="135">
        <f t="shared" si="13"/>
        <v>1</v>
      </c>
      <c r="BM10" s="135">
        <f t="shared" si="14"/>
        <v>0</v>
      </c>
      <c r="BN10" s="135"/>
      <c r="BO10" s="135" t="str">
        <f>IF((AD10&lt;&gt;""),"[br]"&amp;IF(AG10="у","[strike]","")&amp;$A10&amp;". "&amp;AD10&amp;" ("&amp;VLOOKUP(AE10,База!$A$13:$B$17,2,0)&amp;" "&amp;AF10&amp;" ур.)"&amp;IF(AG10="у","[/strike] (цена реорганизации: "&amp;AF10*База!$I$2&amp;")","")&amp;IF(AF10&lt;BP10," (цена апгрейда: "&amp;(BP10-AF10)*База!$I$3&amp;")",""),"")&amp;BO11</f>
        <v/>
      </c>
      <c r="BP10" s="135">
        <f t="shared" si="15"/>
        <v>0</v>
      </c>
      <c r="BQ10" s="135">
        <f t="shared" si="16"/>
        <v>0</v>
      </c>
    </row>
    <row r="11" spans="1:70" x14ac:dyDescent="0.25">
      <c r="A11">
        <v>8</v>
      </c>
      <c r="B11" s="63" t="s">
        <v>571</v>
      </c>
      <c r="C11" s="267" t="s">
        <v>158</v>
      </c>
      <c r="D11" s="267">
        <v>4</v>
      </c>
      <c r="E11" s="267" t="s">
        <v>155</v>
      </c>
      <c r="F11" s="48" t="s">
        <v>470</v>
      </c>
      <c r="G11" s="50" t="s">
        <v>157</v>
      </c>
      <c r="H11" s="50">
        <v>2</v>
      </c>
      <c r="I11" s="50"/>
      <c r="J11" s="66" t="s">
        <v>485</v>
      </c>
      <c r="K11" s="250" t="s">
        <v>156</v>
      </c>
      <c r="L11" s="250">
        <v>2</v>
      </c>
      <c r="M11" s="68" t="s">
        <v>155</v>
      </c>
      <c r="N11" s="58" t="s">
        <v>506</v>
      </c>
      <c r="O11" s="268" t="s">
        <v>154</v>
      </c>
      <c r="P11" s="268">
        <v>3</v>
      </c>
      <c r="Q11" s="268" t="s">
        <v>155</v>
      </c>
      <c r="R11" s="72" t="s">
        <v>532</v>
      </c>
      <c r="S11" s="289" t="s">
        <v>158</v>
      </c>
      <c r="T11" s="289">
        <v>4</v>
      </c>
      <c r="U11" s="289"/>
      <c r="V11" s="69" t="s">
        <v>620</v>
      </c>
      <c r="W11" s="288" t="s">
        <v>158</v>
      </c>
      <c r="X11" s="288">
        <v>4</v>
      </c>
      <c r="Y11" s="288" t="s">
        <v>155</v>
      </c>
      <c r="Z11" s="26" t="s">
        <v>504</v>
      </c>
      <c r="AA11" s="28" t="s">
        <v>154</v>
      </c>
      <c r="AB11" s="28">
        <v>3</v>
      </c>
      <c r="AC11" s="28"/>
      <c r="AD11" s="53"/>
      <c r="AE11" s="55"/>
      <c r="AF11" s="55"/>
      <c r="AG11" s="55"/>
      <c r="AI11" s="72"/>
      <c r="AJ11" s="289"/>
      <c r="AK11" s="289"/>
      <c r="AL11" s="289"/>
      <c r="AM11" s="135" t="str">
        <f>IF((B11&lt;&gt;""),"[br]"&amp;IF(E11="у","[strike]","")&amp;$A11&amp;". "&amp;B11&amp;" ("&amp;VLOOKUP(C11,База!$A$13:$B$17,2,0)&amp;" "&amp;D11&amp;" ур.)"&amp;IF(E11="у","[/strike] (цена реорганизации: "&amp;D11*База!$I$2&amp;")","")&amp;IF(D11&lt;AN11," (цена апгрейда: "&amp;(AN11-D11)*База!$I$3&amp;")",""),"")&amp;AM12</f>
        <v>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1" s="135">
        <f t="shared" si="1"/>
        <v>4</v>
      </c>
      <c r="AO11" s="135">
        <f t="shared" si="2"/>
        <v>0</v>
      </c>
      <c r="AP11" s="135"/>
      <c r="AQ11" s="135" t="str">
        <f>IF((F11&lt;&gt;""),"[br]"&amp;IF(I11="у","[strike]","")&amp;$A11&amp;". "&amp;F11&amp;" ("&amp;VLOOKUP(G11,База!$A$13:$B$17,2,0)&amp;" "&amp;H11&amp;" ур.)"&amp;IF(I11="у","[/strike] (цена реорганизации: "&amp;H11*База!$I$2&amp;")","")&amp;IF(H11&lt;AR11," (цена апгрейда: "&amp;(AR11-H11)*База!$I$3&amp;")",""),"")&amp;AQ12</f>
        <v>[br]8. 6е триарии (заградит. 2 ур.)[br]9. 3я ватага (пехотное 1 ур.)</v>
      </c>
      <c r="AR11" s="135">
        <f t="shared" si="3"/>
        <v>2</v>
      </c>
      <c r="AS11" s="135">
        <f t="shared" si="4"/>
        <v>0</v>
      </c>
      <c r="AT11" s="135"/>
      <c r="AU11" s="135" t="str">
        <f>IF((J11&lt;&gt;""),"[br]"&amp;IF(M11="у","[strike]","")&amp;$A11&amp;". "&amp;J11&amp;" ("&amp;VLOOKUP(K11,База!$A$13:$B$17,2,0)&amp;" "&amp;L11&amp;" ур.)"&amp;IF(M11="у","[/strike] (цена реорганизации: "&amp;L11*База!$I$2&amp;")","")&amp;IF(L11&lt;AV11," (цена апгрейда: "&amp;(AV11-L11)*База!$I$3&amp;")",""),"")&amp;AU12</f>
        <v>[br][strike]8. 5е рыцари (мобильное 2 ур.)[/strike] (цена реорганизации: 4)[br][strike]9. Бипланы (авиация 3 ур.)[/strike] (цена реорганизации: 6)</v>
      </c>
      <c r="AV11" s="135">
        <f t="shared" si="5"/>
        <v>2</v>
      </c>
      <c r="AW11" s="135">
        <f t="shared" si="6"/>
        <v>0</v>
      </c>
      <c r="AX11" s="135"/>
      <c r="AY11" s="247" t="str">
        <f>IF((N11&lt;&gt;""),"[br]"&amp;IF(Q11="у","[strike]","")&amp;$A11&amp;". "&amp;N11&amp;" ("&amp;VLOOKUP(O11,База!$A$13:$B$17,2,0)&amp;" "&amp;P11&amp;" ур.)"&amp;IF(Q11="у","[/strike] (цена реорганизации: "&amp;P11*База!$I$2&amp;")","")&amp;IF(P11&lt;AZ11," (цена апгрейда: "&amp;(AZ11-P11)*База!$I$3&amp;")",""),"")&amp;AY12</f>
        <v>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1" s="247">
        <f t="shared" si="7"/>
        <v>3</v>
      </c>
      <c r="BA11" s="247">
        <f t="shared" si="8"/>
        <v>0</v>
      </c>
      <c r="BB11" s="135"/>
      <c r="BC11" s="135" t="str">
        <f>IF((R11&lt;&gt;""),"[br]"&amp;IF(U11="у","[strike]","")&amp;$A11&amp;". "&amp;R11&amp;" ("&amp;VLOOKUP(S11,База!$A$13:$B$17,2,0)&amp;" "&amp;T11&amp;" ур.)"&amp;IF(U11="у","[/strike] (цена реорганизации: "&amp;T11*База!$I$2&amp;")","")&amp;IF(T11&lt;BD11," (цена апгрейда: "&amp;(BD11-T11)*База!$I$3&amp;")",""),"")&amp;BC12</f>
        <v>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1" s="135">
        <f t="shared" si="9"/>
        <v>4</v>
      </c>
      <c r="BE11" s="135">
        <f t="shared" si="10"/>
        <v>0</v>
      </c>
      <c r="BF11" s="135"/>
      <c r="BG11" s="135" t="str">
        <f>IF((V11&lt;&gt;""),"[br]"&amp;IF(Y11="у","[strike]","")&amp;$A11&amp;". "&amp;V11&amp;" ("&amp;VLOOKUP(W11,База!$A$13:$B$17,2,0)&amp;" "&amp;X11&amp;" ур.)"&amp;IF(Y11="у","[/strike] (цена реорганизации: "&amp;X11*База!$I$2&amp;")","")&amp;IF(X11&lt;BH11," (цена апгрейда: "&amp;(BH11-X11)*База!$I$3&amp;")",""),"")&amp;BG12</f>
        <v>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1" s="135">
        <f t="shared" si="11"/>
        <v>4</v>
      </c>
      <c r="BI11" s="135">
        <f t="shared" si="12"/>
        <v>0</v>
      </c>
      <c r="BJ11" s="135"/>
      <c r="BK11" s="135" t="str">
        <f>IF((Z11&lt;&gt;""),"[br]"&amp;IF(AC11="у","[strike]","")&amp;$A11&amp;". "&amp;Z11&amp;" ("&amp;VLOOKUP(AA11,База!$A$13:$B$17,2,0)&amp;" "&amp;AB11&amp;" ур.)"&amp;IF(AC11="у","[/strike] (цена реорганизации: "&amp;AB11*База!$I$2&amp;")","")&amp;IF(AB11&lt;BL11," (цена апгрейда: "&amp;(BL11-AB11)*База!$I$3&amp;")",""),"")&amp;BK12</f>
        <v>[br]8. 1е бипланы (авиация 3 ур.)</v>
      </c>
      <c r="BL11" s="135">
        <f t="shared" si="13"/>
        <v>3</v>
      </c>
      <c r="BM11" s="135">
        <f t="shared" si="14"/>
        <v>0</v>
      </c>
      <c r="BN11" s="135"/>
      <c r="BO11" s="135" t="str">
        <f>IF((AD11&lt;&gt;""),"[br]"&amp;IF(AG11="у","[strike]","")&amp;$A11&amp;". "&amp;AD11&amp;" ("&amp;VLOOKUP(AE11,База!$A$13:$B$17,2,0)&amp;" "&amp;AF11&amp;" ур.)"&amp;IF(AG11="у","[/strike] (цена реорганизации: "&amp;AF11*База!$I$2&amp;")","")&amp;IF(AF11&lt;BP11," (цена апгрейда: "&amp;(BP11-AF11)*База!$I$3&amp;")",""),"")&amp;BO12</f>
        <v/>
      </c>
      <c r="BP11" s="135">
        <f t="shared" si="15"/>
        <v>0</v>
      </c>
      <c r="BQ11" s="135">
        <f t="shared" si="16"/>
        <v>0</v>
      </c>
    </row>
    <row r="12" spans="1:70" x14ac:dyDescent="0.25">
      <c r="A12">
        <v>9</v>
      </c>
      <c r="B12" s="63" t="s">
        <v>555</v>
      </c>
      <c r="C12" s="267" t="s">
        <v>154</v>
      </c>
      <c r="D12" s="267">
        <v>4</v>
      </c>
      <c r="E12" s="267" t="s">
        <v>155</v>
      </c>
      <c r="F12" s="48" t="s">
        <v>347</v>
      </c>
      <c r="G12" s="50" t="s">
        <v>153</v>
      </c>
      <c r="H12" s="50">
        <v>1</v>
      </c>
      <c r="I12" s="50"/>
      <c r="J12" s="66" t="s">
        <v>150</v>
      </c>
      <c r="K12" s="68" t="s">
        <v>154</v>
      </c>
      <c r="L12" s="68">
        <v>3</v>
      </c>
      <c r="M12" s="68" t="s">
        <v>155</v>
      </c>
      <c r="N12" s="58" t="s">
        <v>508</v>
      </c>
      <c r="O12" s="268" t="s">
        <v>154</v>
      </c>
      <c r="P12" s="268">
        <v>3</v>
      </c>
      <c r="Q12" s="268" t="s">
        <v>155</v>
      </c>
      <c r="R12" s="72" t="s">
        <v>541</v>
      </c>
      <c r="S12" s="289" t="s">
        <v>154</v>
      </c>
      <c r="T12" s="289">
        <v>4</v>
      </c>
      <c r="U12" s="289"/>
      <c r="V12" s="69" t="s">
        <v>585</v>
      </c>
      <c r="W12" s="288" t="s">
        <v>154</v>
      </c>
      <c r="X12" s="288">
        <v>4</v>
      </c>
      <c r="Y12" s="288" t="s">
        <v>155</v>
      </c>
      <c r="Z12" s="26"/>
      <c r="AA12" s="28"/>
      <c r="AB12" s="28"/>
      <c r="AC12" s="28"/>
      <c r="AD12" s="53"/>
      <c r="AE12" s="55"/>
      <c r="AF12" s="55"/>
      <c r="AG12" s="55"/>
      <c r="AM12" s="135" t="str">
        <f>IF((B12&lt;&gt;""),"[br]"&amp;IF(E12="у","[strike]","")&amp;$A12&amp;". "&amp;B12&amp;" ("&amp;VLOOKUP(C12,База!$A$13:$B$17,2,0)&amp;" "&amp;D12&amp;" ур.)"&amp;IF(E12="у","[/strike] (цена реорганизации: "&amp;D12*База!$I$2&amp;")","")&amp;IF(D12&lt;AN12," (цена апгрейда: "&amp;(AN12-D12)*База!$I$3&amp;")",""),"")&amp;AM13</f>
        <v>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2" s="135">
        <f t="shared" si="1"/>
        <v>4</v>
      </c>
      <c r="AO12" s="135">
        <f t="shared" si="2"/>
        <v>0</v>
      </c>
      <c r="AP12" s="135"/>
      <c r="AQ12" s="135" t="str">
        <f>IF((F12&lt;&gt;""),"[br]"&amp;IF(I12="у","[strike]","")&amp;$A12&amp;". "&amp;F12&amp;" ("&amp;VLOOKUP(G12,База!$A$13:$B$17,2,0)&amp;" "&amp;H12&amp;" ур.)"&amp;IF(I12="у","[/strike] (цена реорганизации: "&amp;H12*База!$I$2&amp;")","")&amp;IF(H12&lt;AR12," (цена апгрейда: "&amp;(AR12-H12)*База!$I$3&amp;")",""),"")&amp;AQ13</f>
        <v>[br]9. 3я ватага (пехотное 1 ур.)</v>
      </c>
      <c r="AR12" s="135">
        <f t="shared" si="3"/>
        <v>1</v>
      </c>
      <c r="AS12" s="135">
        <f t="shared" si="4"/>
        <v>0</v>
      </c>
      <c r="AT12" s="135"/>
      <c r="AU12" s="135" t="str">
        <f>IF((J12&lt;&gt;""),"[br]"&amp;IF(M12="у","[strike]","")&amp;$A12&amp;". "&amp;J12&amp;" ("&amp;VLOOKUP(K12,База!$A$13:$B$17,2,0)&amp;" "&amp;L12&amp;" ур.)"&amp;IF(M12="у","[/strike] (цена реорганизации: "&amp;L12*База!$I$2&amp;")","")&amp;IF(L12&lt;AV12," (цена апгрейда: "&amp;(AV12-L12)*База!$I$3&amp;")",""),"")&amp;AU13</f>
        <v>[br][strike]9. Бипланы (авиация 3 ур.)[/strike] (цена реорганизации: 6)</v>
      </c>
      <c r="AV12" s="135">
        <f t="shared" si="5"/>
        <v>3</v>
      </c>
      <c r="AW12" s="135">
        <f t="shared" si="6"/>
        <v>0</v>
      </c>
      <c r="AX12" s="135"/>
      <c r="AY12" s="247" t="str">
        <f>IF((N12&lt;&gt;""),"[br]"&amp;IF(Q12="у","[strike]","")&amp;$A12&amp;". "&amp;N12&amp;" ("&amp;VLOOKUP(O12,База!$A$13:$B$17,2,0)&amp;" "&amp;P12&amp;" ур.)"&amp;IF(Q12="у","[/strike] (цена реорганизации: "&amp;P12*База!$I$2&amp;")","")&amp;IF(P12&lt;AZ12," (цена апгрейда: "&amp;(AZ12-P12)*База!$I$3&amp;")",""),"")&amp;AY13</f>
        <v>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2" s="247">
        <f t="shared" si="7"/>
        <v>3</v>
      </c>
      <c r="BA12" s="247">
        <f t="shared" si="8"/>
        <v>0</v>
      </c>
      <c r="BB12" s="135"/>
      <c r="BC12" s="135" t="str">
        <f>IF((R12&lt;&gt;""),"[br]"&amp;IF(U12="у","[strike]","")&amp;$A12&amp;". "&amp;R12&amp;" ("&amp;VLOOKUP(S12,База!$A$13:$B$17,2,0)&amp;" "&amp;T12&amp;" ур.)"&amp;IF(U12="у","[/strike] (цена реорганизации: "&amp;T12*База!$I$2&amp;")","")&amp;IF(T12&lt;BD12," (цена апгрейда: "&amp;(BD12-T12)*База!$I$3&amp;")",""),"")&amp;BC13</f>
        <v>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2" s="135">
        <f t="shared" si="9"/>
        <v>4</v>
      </c>
      <c r="BE12" s="135">
        <f t="shared" si="10"/>
        <v>0</v>
      </c>
      <c r="BF12" s="135"/>
      <c r="BG12" s="135" t="str">
        <f>IF((V12&lt;&gt;""),"[br]"&amp;IF(Y12="у","[strike]","")&amp;$A12&amp;". "&amp;V12&amp;" ("&amp;VLOOKUP(W12,База!$A$13:$B$17,2,0)&amp;" "&amp;X12&amp;" ур.)"&amp;IF(Y12="у","[/strike] (цена реорганизации: "&amp;X12*База!$I$2&amp;")","")&amp;IF(X12&lt;BH12," (цена апгрейда: "&amp;(BH12-X12)*База!$I$3&amp;")",""),"")&amp;BG13</f>
        <v>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2" s="135">
        <f t="shared" si="11"/>
        <v>4</v>
      </c>
      <c r="BI12" s="135">
        <f t="shared" si="12"/>
        <v>0</v>
      </c>
      <c r="BJ12" s="135"/>
      <c r="BK12" s="135" t="str">
        <f>IF((Z12&lt;&gt;""),"[br]"&amp;IF(AC12="у","[strike]","")&amp;$A12&amp;". "&amp;Z12&amp;" ("&amp;VLOOKUP(AA12,База!$A$13:$B$17,2,0)&amp;" "&amp;AB12&amp;" ур.)"&amp;IF(AC12="у","[/strike] (цена реорганизации: "&amp;AB12*База!$I$2&amp;")","")&amp;IF(AB12&lt;BL12," (цена апгрейда: "&amp;(BL12-AB12)*База!$I$3&amp;")",""),"")&amp;BK13</f>
        <v/>
      </c>
      <c r="BL12" s="135">
        <f t="shared" si="13"/>
        <v>0</v>
      </c>
      <c r="BM12" s="135">
        <f t="shared" si="14"/>
        <v>0</v>
      </c>
      <c r="BN12" s="135"/>
      <c r="BO12" s="135" t="str">
        <f>IF((AD12&lt;&gt;""),"[br]"&amp;IF(AG12="у","[strike]","")&amp;$A12&amp;". "&amp;AD12&amp;" ("&amp;VLOOKUP(AE12,База!$A$13:$B$17,2,0)&amp;" "&amp;AF12&amp;" ур.)"&amp;IF(AG12="у","[/strike] (цена реорганизации: "&amp;AF12*База!$I$2&amp;")","")&amp;IF(AF12&lt;BP12," (цена апгрейда: "&amp;(BP12-AF12)*База!$I$3&amp;")",""),"")&amp;BO13</f>
        <v/>
      </c>
      <c r="BP12" s="135">
        <f t="shared" si="15"/>
        <v>0</v>
      </c>
      <c r="BQ12" s="135">
        <f t="shared" si="16"/>
        <v>0</v>
      </c>
    </row>
    <row r="13" spans="1:70" x14ac:dyDescent="0.25">
      <c r="A13">
        <v>10</v>
      </c>
      <c r="B13" s="63" t="s">
        <v>572</v>
      </c>
      <c r="C13" s="267" t="s">
        <v>158</v>
      </c>
      <c r="D13" s="267">
        <v>4</v>
      </c>
      <c r="E13" s="267" t="s">
        <v>622</v>
      </c>
      <c r="F13" s="48"/>
      <c r="G13" s="50"/>
      <c r="H13" s="50"/>
      <c r="I13" s="50"/>
      <c r="J13" s="66"/>
      <c r="K13" s="68"/>
      <c r="L13" s="68"/>
      <c r="M13" s="68"/>
      <c r="N13" s="58" t="s">
        <v>560</v>
      </c>
      <c r="O13" s="268" t="s">
        <v>154</v>
      </c>
      <c r="P13" s="268">
        <v>3</v>
      </c>
      <c r="Q13" s="268" t="s">
        <v>155</v>
      </c>
      <c r="R13" s="72" t="s">
        <v>526</v>
      </c>
      <c r="S13" s="289" t="s">
        <v>158</v>
      </c>
      <c r="T13" s="289">
        <v>4</v>
      </c>
      <c r="U13" s="289"/>
      <c r="V13" s="69" t="s">
        <v>618</v>
      </c>
      <c r="W13" s="288" t="s">
        <v>153</v>
      </c>
      <c r="X13" s="288">
        <v>1</v>
      </c>
      <c r="Y13" s="288" t="s">
        <v>155</v>
      </c>
      <c r="Z13" s="26"/>
      <c r="AA13" s="28"/>
      <c r="AB13" s="28"/>
      <c r="AC13" s="28"/>
      <c r="AD13" s="53"/>
      <c r="AE13" s="55"/>
      <c r="AF13" s="55"/>
      <c r="AG13" s="55"/>
      <c r="AI13" s="72"/>
      <c r="AJ13" s="289"/>
      <c r="AK13" s="289"/>
      <c r="AL13" s="289"/>
      <c r="AM13" s="135" t="str">
        <f>IF((B13&lt;&gt;""),"[br]"&amp;IF(E13="у","[strike]","")&amp;$A13&amp;". "&amp;B13&amp;" ("&amp;VLOOKUP(C13,База!$A$13:$B$17,2,0)&amp;" "&amp;D13&amp;" ур.)"&amp;IF(E13="у","[/strike] (цена реорганизации: "&amp;D13*База!$I$2&amp;")","")&amp;IF(D13&lt;AN13," (цена апгрейда: "&amp;(AN13-D13)*База!$I$3&amp;")",""),"")&amp;AM14</f>
        <v>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3" s="135">
        <f t="shared" si="1"/>
        <v>4</v>
      </c>
      <c r="AO13" s="135">
        <f t="shared" si="2"/>
        <v>0</v>
      </c>
      <c r="AP13" s="135"/>
      <c r="AQ13" s="135" t="str">
        <f>IF((F13&lt;&gt;""),"[br]"&amp;IF(I13="у","[strike]","")&amp;$A13&amp;". "&amp;F13&amp;" ("&amp;VLOOKUP(G13,База!$A$13:$B$17,2,0)&amp;" "&amp;H13&amp;" ур.)"&amp;IF(I13="у","[/strike] (цена реорганизации: "&amp;H13*База!$I$2&amp;")","")&amp;IF(H13&lt;AR13," (цена апгрейда: "&amp;(AR13-H13)*База!$I$3&amp;")",""),"")&amp;AQ14</f>
        <v/>
      </c>
      <c r="AR13" s="135">
        <f t="shared" si="3"/>
        <v>0</v>
      </c>
      <c r="AS13" s="135">
        <f t="shared" si="4"/>
        <v>0</v>
      </c>
      <c r="AT13" s="135"/>
      <c r="AU13" s="135" t="str">
        <f>IF((J13&lt;&gt;""),"[br]"&amp;IF(M13="у","[strike]","")&amp;$A13&amp;". "&amp;J13&amp;" ("&amp;VLOOKUP(K13,База!$A$13:$B$17,2,0)&amp;" "&amp;L13&amp;" ур.)"&amp;IF(M13="у","[/strike] (цена реорганизации: "&amp;L13*База!$I$2&amp;")","")&amp;IF(L13&lt;AV13," (цена апгрейда: "&amp;(AV13-L13)*База!$I$3&amp;")",""),"")&amp;AU14</f>
        <v/>
      </c>
      <c r="AV13" s="135">
        <f t="shared" si="5"/>
        <v>0</v>
      </c>
      <c r="AW13" s="135">
        <f t="shared" si="6"/>
        <v>0</v>
      </c>
      <c r="AX13" s="135"/>
      <c r="AY13" s="247" t="str">
        <f>IF((N13&lt;&gt;""),"[br]"&amp;IF(Q13="у","[strike]","")&amp;$A13&amp;". "&amp;N13&amp;" ("&amp;VLOOKUP(O13,База!$A$13:$B$17,2,0)&amp;" "&amp;P13&amp;" ур.)"&amp;IF(Q13="у","[/strike] (цена реорганизации: "&amp;P13*База!$I$2&amp;")","")&amp;IF(P13&lt;AZ13," (цена апгрейда: "&amp;(AZ13-P13)*База!$I$3&amp;")",""),"")&amp;AY14</f>
        <v>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3" s="247">
        <f t="shared" si="7"/>
        <v>3</v>
      </c>
      <c r="BA13" s="247">
        <f t="shared" si="8"/>
        <v>0</v>
      </c>
      <c r="BB13" s="135"/>
      <c r="BC13" s="135" t="str">
        <f>IF((R13&lt;&gt;""),"[br]"&amp;IF(U13="у","[strike]","")&amp;$A13&amp;". "&amp;R13&amp;" ("&amp;VLOOKUP(S13,База!$A$13:$B$17,2,0)&amp;" "&amp;T13&amp;" ур.)"&amp;IF(U13="у","[/strike] (цена реорганизации: "&amp;T13*База!$I$2&amp;")","")&amp;IF(T13&lt;BD13," (цена апгрейда: "&amp;(BD13-T13)*База!$I$3&amp;")",""),"")&amp;BC14</f>
        <v>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3" s="135">
        <f t="shared" si="9"/>
        <v>4</v>
      </c>
      <c r="BE13" s="135">
        <f t="shared" si="10"/>
        <v>0</v>
      </c>
      <c r="BF13" s="135"/>
      <c r="BG13" s="135" t="str">
        <f>IF((V13&lt;&gt;""),"[br]"&amp;IF(Y13="у","[strike]","")&amp;$A13&amp;". "&amp;V13&amp;" ("&amp;VLOOKUP(W13,База!$A$13:$B$17,2,0)&amp;" "&amp;X13&amp;" ур.)"&amp;IF(Y13="у","[/strike] (цена реорганизации: "&amp;X13*База!$I$2&amp;")","")&amp;IF(X13&lt;BH13," (цена апгрейда: "&amp;(BH13-X13)*База!$I$3&amp;")",""),"")&amp;BG14</f>
        <v>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3" s="135">
        <f t="shared" si="11"/>
        <v>1</v>
      </c>
      <c r="BI13" s="135">
        <f t="shared" si="12"/>
        <v>0</v>
      </c>
      <c r="BJ13" s="135"/>
      <c r="BK13" s="135" t="str">
        <f>IF((Z13&lt;&gt;""),"[br]"&amp;IF(AC13="у","[strike]","")&amp;$A13&amp;". "&amp;Z13&amp;" ("&amp;VLOOKUP(AA13,База!$A$13:$B$17,2,0)&amp;" "&amp;AB13&amp;" ур.)"&amp;IF(AC13="у","[/strike] (цена реорганизации: "&amp;AB13*База!$I$2&amp;")","")&amp;IF(AB13&lt;BL13," (цена апгрейда: "&amp;(BL13-AB13)*База!$I$3&amp;")",""),"")&amp;BK14</f>
        <v/>
      </c>
      <c r="BL13" s="135">
        <f t="shared" si="13"/>
        <v>0</v>
      </c>
      <c r="BM13" s="135">
        <f t="shared" si="14"/>
        <v>0</v>
      </c>
      <c r="BN13" s="135"/>
      <c r="BO13" s="135" t="str">
        <f>IF((AD13&lt;&gt;""),"[br]"&amp;IF(AG13="у","[strike]","")&amp;$A13&amp;". "&amp;AD13&amp;" ("&amp;VLOOKUP(AE13,База!$A$13:$B$17,2,0)&amp;" "&amp;AF13&amp;" ур.)"&amp;IF(AG13="у","[/strike] (цена реорганизации: "&amp;AF13*База!$I$2&amp;")","")&amp;IF(AF13&lt;BP13," (цена апгрейда: "&amp;(BP13-AF13)*База!$I$3&amp;")",""),"")&amp;BO14</f>
        <v/>
      </c>
      <c r="BP13" s="135">
        <f t="shared" si="15"/>
        <v>0</v>
      </c>
      <c r="BQ13" s="135">
        <f t="shared" si="16"/>
        <v>0</v>
      </c>
    </row>
    <row r="14" spans="1:70" x14ac:dyDescent="0.25">
      <c r="A14">
        <v>11</v>
      </c>
      <c r="B14" s="63" t="s">
        <v>557</v>
      </c>
      <c r="C14" s="267" t="s">
        <v>154</v>
      </c>
      <c r="D14" s="267">
        <v>4</v>
      </c>
      <c r="E14" s="65"/>
      <c r="F14" s="48"/>
      <c r="G14" s="50"/>
      <c r="H14" s="50"/>
      <c r="I14" s="50"/>
      <c r="J14" s="66"/>
      <c r="K14" s="68"/>
      <c r="L14" s="68"/>
      <c r="M14" s="68"/>
      <c r="N14" s="58" t="s">
        <v>561</v>
      </c>
      <c r="O14" s="268" t="s">
        <v>154</v>
      </c>
      <c r="P14" s="268">
        <v>3</v>
      </c>
      <c r="Q14" s="268" t="s">
        <v>155</v>
      </c>
      <c r="R14" s="72" t="s">
        <v>573</v>
      </c>
      <c r="S14" s="289" t="s">
        <v>154</v>
      </c>
      <c r="T14" s="289">
        <v>4</v>
      </c>
      <c r="U14" s="289"/>
      <c r="V14" s="69" t="s">
        <v>513</v>
      </c>
      <c r="W14" s="288" t="s">
        <v>158</v>
      </c>
      <c r="X14" s="288">
        <v>2</v>
      </c>
      <c r="Y14" s="288"/>
      <c r="Z14" s="26"/>
      <c r="AA14" s="28"/>
      <c r="AB14" s="28"/>
      <c r="AC14" s="28"/>
      <c r="AD14" s="53"/>
      <c r="AE14" s="55"/>
      <c r="AF14" s="55"/>
      <c r="AG14" s="55"/>
      <c r="AI14" s="72"/>
      <c r="AJ14" s="289"/>
      <c r="AK14" s="289"/>
      <c r="AL14" s="289"/>
      <c r="AM14" s="135" t="str">
        <f>IF((B14&lt;&gt;""),"[br]"&amp;IF(E14="у","[strike]","")&amp;$A14&amp;". "&amp;B14&amp;" ("&amp;VLOOKUP(C14,База!$A$13:$B$17,2,0)&amp;" "&amp;D14&amp;" ур.)"&amp;IF(E14="у","[/strike] (цена реорганизации: "&amp;D14*База!$I$2&amp;")","")&amp;IF(D14&lt;AN14," (цена апгрейда: "&amp;(AN14-D14)*База!$I$3&amp;")",""),"")&amp;AM15</f>
        <v>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4" s="135">
        <f t="shared" si="1"/>
        <v>4</v>
      </c>
      <c r="AO14" s="135">
        <f t="shared" si="2"/>
        <v>0</v>
      </c>
      <c r="AP14" s="135"/>
      <c r="AQ14" s="135" t="str">
        <f>IF((F14&lt;&gt;""),"[br]"&amp;IF(I14="у","[strike]","")&amp;$A14&amp;". "&amp;F14&amp;" ("&amp;VLOOKUP(G14,База!$A$13:$B$17,2,0)&amp;" "&amp;H14&amp;" ур.)"&amp;IF(I14="у","[/strike] (цена реорганизации: "&amp;H14*База!$I$2&amp;")","")&amp;IF(H14&lt;AR14," (цена апгрейда: "&amp;(AR14-H14)*База!$I$3&amp;")",""),"")&amp;AQ15</f>
        <v/>
      </c>
      <c r="AR14" s="135">
        <f t="shared" si="3"/>
        <v>0</v>
      </c>
      <c r="AS14" s="135">
        <f t="shared" si="4"/>
        <v>0</v>
      </c>
      <c r="AT14" s="135"/>
      <c r="AU14" s="135" t="str">
        <f>IF((J14&lt;&gt;""),"[br]"&amp;IF(M14="у","[strike]","")&amp;$A14&amp;". "&amp;J14&amp;" ("&amp;VLOOKUP(K14,База!$A$13:$B$17,2,0)&amp;" "&amp;L14&amp;" ур.)"&amp;IF(M14="у","[/strike] (цена реорганизации: "&amp;L14*База!$I$2&amp;")","")&amp;IF(L14&lt;AV14," (цена апгрейда: "&amp;(AV14-L14)*База!$I$3&amp;")",""),"")&amp;AU15</f>
        <v/>
      </c>
      <c r="AV14" s="135">
        <f t="shared" si="5"/>
        <v>0</v>
      </c>
      <c r="AW14" s="135">
        <f t="shared" si="6"/>
        <v>0</v>
      </c>
      <c r="AX14" s="135"/>
      <c r="AY14" s="247" t="str">
        <f>IF((N14&lt;&gt;""),"[br]"&amp;IF(Q14="у","[strike]","")&amp;$A14&amp;". "&amp;N14&amp;" ("&amp;VLOOKUP(O14,База!$A$13:$B$17,2,0)&amp;" "&amp;P14&amp;" ур.)"&amp;IF(Q14="у","[/strike] (цена реорганизации: "&amp;P14*База!$I$2&amp;")","")&amp;IF(P14&lt;AZ14," (цена апгрейда: "&amp;(AZ14-P14)*База!$I$3&amp;")",""),"")&amp;AY15</f>
        <v>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4" s="247">
        <f t="shared" si="7"/>
        <v>3</v>
      </c>
      <c r="BA14" s="247">
        <f t="shared" si="8"/>
        <v>0</v>
      </c>
      <c r="BB14" s="135"/>
      <c r="BC14" s="135" t="str">
        <f>IF((R14&lt;&gt;""),"[br]"&amp;IF(U14="у","[strike]","")&amp;$A14&amp;". "&amp;R14&amp;" ("&amp;VLOOKUP(S14,База!$A$13:$B$17,2,0)&amp;" "&amp;T14&amp;" ур.)"&amp;IF(U14="у","[/strike] (цена реорганизации: "&amp;T14*База!$I$2&amp;")","")&amp;IF(T14&lt;BD14," (цена апгрейда: "&amp;(BD14-T14)*База!$I$3&amp;")",""),"")&amp;BC15</f>
        <v>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4" s="135">
        <f t="shared" si="9"/>
        <v>4</v>
      </c>
      <c r="BE14" s="135">
        <f t="shared" si="10"/>
        <v>0</v>
      </c>
      <c r="BF14" s="135"/>
      <c r="BG14" s="135" t="str">
        <f>IF((V14&lt;&gt;""),"[br]"&amp;IF(Y14="у","[strike]","")&amp;$A14&amp;". "&amp;V14&amp;" ("&amp;VLOOKUP(W14,База!$A$13:$B$17,2,0)&amp;" "&amp;X14&amp;" ур.)"&amp;IF(Y14="у","[/strike] (цена реорганизации: "&amp;X14*База!$I$2&amp;")","")&amp;IF(X14&lt;BH14," (цена апгрейда: "&amp;(BH14-X14)*База!$I$3&amp;")",""),"")&amp;BG15</f>
        <v>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4" s="135">
        <f t="shared" si="11"/>
        <v>4</v>
      </c>
      <c r="BI14" s="135">
        <f t="shared" si="12"/>
        <v>1</v>
      </c>
      <c r="BJ14" s="135"/>
      <c r="BK14" s="135" t="str">
        <f>IF((Z14&lt;&gt;""),"[br]"&amp;IF(AC14="у","[strike]","")&amp;$A14&amp;". "&amp;Z14&amp;" ("&amp;VLOOKUP(AA14,База!$A$13:$B$17,2,0)&amp;" "&amp;AB14&amp;" ур.)"&amp;IF(AC14="у","[/strike] (цена реорганизации: "&amp;AB14*База!$I$2&amp;")","")&amp;IF(AB14&lt;BL14," (цена апгрейда: "&amp;(BL14-AB14)*База!$I$3&amp;")",""),"")&amp;BK15</f>
        <v/>
      </c>
      <c r="BL14" s="135">
        <f t="shared" si="13"/>
        <v>0</v>
      </c>
      <c r="BM14" s="135">
        <f t="shared" si="14"/>
        <v>0</v>
      </c>
      <c r="BN14" s="135"/>
      <c r="BO14" s="135" t="str">
        <f>IF((AD14&lt;&gt;""),"[br]"&amp;IF(AG14="у","[strike]","")&amp;$A14&amp;". "&amp;AD14&amp;" ("&amp;VLOOKUP(AE14,База!$A$13:$B$17,2,0)&amp;" "&amp;AF14&amp;" ур.)"&amp;IF(AG14="у","[/strike] (цена реорганизации: "&amp;AF14*База!$I$2&amp;")","")&amp;IF(AF14&lt;BP14," (цена апгрейда: "&amp;(BP14-AF14)*База!$I$3&amp;")",""),"")&amp;BO15</f>
        <v/>
      </c>
      <c r="BP14" s="135">
        <f t="shared" si="15"/>
        <v>0</v>
      </c>
      <c r="BQ14" s="135">
        <f t="shared" si="16"/>
        <v>0</v>
      </c>
    </row>
    <row r="15" spans="1:70" x14ac:dyDescent="0.25">
      <c r="A15">
        <v>12</v>
      </c>
      <c r="B15" s="63" t="s">
        <v>586</v>
      </c>
      <c r="C15" s="281" t="s">
        <v>158</v>
      </c>
      <c r="D15" s="281">
        <v>4</v>
      </c>
      <c r="E15" s="65" t="s">
        <v>622</v>
      </c>
      <c r="F15" s="48"/>
      <c r="G15" s="50"/>
      <c r="H15" s="50"/>
      <c r="I15" s="50"/>
      <c r="J15" s="66"/>
      <c r="K15" s="68"/>
      <c r="L15" s="68"/>
      <c r="M15" s="68"/>
      <c r="N15" s="58" t="s">
        <v>562</v>
      </c>
      <c r="O15" s="268" t="s">
        <v>154</v>
      </c>
      <c r="P15" s="268">
        <v>3</v>
      </c>
      <c r="Q15" s="268" t="s">
        <v>155</v>
      </c>
      <c r="R15" s="72" t="s">
        <v>525</v>
      </c>
      <c r="S15" s="289" t="s">
        <v>153</v>
      </c>
      <c r="T15" s="289">
        <v>3</v>
      </c>
      <c r="U15" s="289"/>
      <c r="V15" s="69" t="s">
        <v>591</v>
      </c>
      <c r="W15" s="288" t="s">
        <v>154</v>
      </c>
      <c r="X15" s="288">
        <v>4</v>
      </c>
      <c r="Y15" s="288"/>
      <c r="Z15" s="26"/>
      <c r="AA15" s="28"/>
      <c r="AB15" s="28"/>
      <c r="AC15" s="28"/>
      <c r="AD15" s="53"/>
      <c r="AE15" s="55"/>
      <c r="AF15" s="55"/>
      <c r="AG15" s="55"/>
      <c r="AI15" s="72"/>
      <c r="AJ15" s="289"/>
      <c r="AK15" s="289"/>
      <c r="AL15" s="289"/>
      <c r="AM15" s="135" t="str">
        <f>IF((B15&lt;&gt;""),"[br]"&amp;IF(E15="у","[strike]","")&amp;$A15&amp;". "&amp;B15&amp;" ("&amp;VLOOKUP(C15,База!$A$13:$B$17,2,0)&amp;" "&amp;D15&amp;" ур.)"&amp;IF(E15="у","[/strike] (цена реорганизации: "&amp;D15*База!$I$2&amp;")","")&amp;IF(D15&lt;AN15," (цена апгрейда: "&amp;(AN15-D15)*База!$I$3&amp;")",""),"")&amp;AM16</f>
        <v>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5" s="135">
        <f t="shared" si="1"/>
        <v>4</v>
      </c>
      <c r="AO15" s="135">
        <f t="shared" si="2"/>
        <v>0</v>
      </c>
      <c r="AP15" s="135"/>
      <c r="AQ15" s="135" t="str">
        <f>IF((F15&lt;&gt;""),"[br]"&amp;IF(I15="у","[strike]","")&amp;$A15&amp;". "&amp;F15&amp;" ("&amp;VLOOKUP(G15,База!$A$13:$B$17,2,0)&amp;" "&amp;H15&amp;" ур.)"&amp;IF(I15="у","[/strike] (цена реорганизации: "&amp;H15*База!$I$2&amp;")","")&amp;IF(H15&lt;AR15," (цена апгрейда: "&amp;(AR15-H15)*База!$I$3&amp;")",""),"")&amp;AQ16</f>
        <v/>
      </c>
      <c r="AR15" s="135">
        <f t="shared" si="3"/>
        <v>0</v>
      </c>
      <c r="AS15" s="135">
        <f t="shared" si="4"/>
        <v>0</v>
      </c>
      <c r="AT15" s="135"/>
      <c r="AU15" s="135" t="str">
        <f>IF((J15&lt;&gt;""),"[br]"&amp;IF(M15="у","[strike]","")&amp;$A15&amp;". "&amp;J15&amp;" ("&amp;VLOOKUP(K15,База!$A$13:$B$17,2,0)&amp;" "&amp;L15&amp;" ур.)"&amp;IF(M15="у","[/strike] (цена реорганизации: "&amp;L15*База!$I$2&amp;")","")&amp;IF(L15&lt;AV15," (цена апгрейда: "&amp;(AV15-L15)*База!$I$3&amp;")",""),"")&amp;AU16</f>
        <v/>
      </c>
      <c r="AV15" s="135">
        <f t="shared" si="5"/>
        <v>0</v>
      </c>
      <c r="AW15" s="135">
        <f t="shared" si="6"/>
        <v>0</v>
      </c>
      <c r="AX15" s="135"/>
      <c r="AY15" s="247" t="str">
        <f>IF((N15&lt;&gt;""),"[br]"&amp;IF(Q15="у","[strike]","")&amp;$A15&amp;". "&amp;N15&amp;" ("&amp;VLOOKUP(O15,База!$A$13:$B$17,2,0)&amp;" "&amp;P15&amp;" ур.)"&amp;IF(Q15="у","[/strike] (цена реорганизации: "&amp;P15*База!$I$2&amp;")","")&amp;IF(P15&lt;AZ15," (цена апгрейда: "&amp;(AZ15-P15)*База!$I$3&amp;")",""),"")&amp;AY16</f>
        <v>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5" s="247">
        <f t="shared" si="7"/>
        <v>3</v>
      </c>
      <c r="BA15" s="247">
        <f t="shared" si="8"/>
        <v>0</v>
      </c>
      <c r="BB15" s="135"/>
      <c r="BC15" s="135" t="str">
        <f>IF((R15&lt;&gt;""),"[br]"&amp;IF(U15="у","[strike]","")&amp;$A15&amp;". "&amp;R15&amp;" ("&amp;VLOOKUP(S15,База!$A$13:$B$17,2,0)&amp;" "&amp;T15&amp;" ур.)"&amp;IF(U15="у","[/strike] (цена реорганизации: "&amp;T15*База!$I$2&amp;")","")&amp;IF(T15&lt;BD15," (цена апгрейда: "&amp;(BD15-T15)*База!$I$3&amp;")",""),"")&amp;BC16</f>
        <v>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5" s="135">
        <f t="shared" si="9"/>
        <v>3</v>
      </c>
      <c r="BE15" s="135">
        <f t="shared" si="10"/>
        <v>0</v>
      </c>
      <c r="BF15" s="135"/>
      <c r="BG15" s="135" t="str">
        <f>IF((V15&lt;&gt;""),"[br]"&amp;IF(Y15="у","[strike]","")&amp;$A15&amp;". "&amp;V15&amp;" ("&amp;VLOOKUP(W15,База!$A$13:$B$17,2,0)&amp;" "&amp;X15&amp;" ур.)"&amp;IF(Y15="у","[/strike] (цена реорганизации: "&amp;X15*База!$I$2&amp;")","")&amp;IF(X15&lt;BH15," (цена апгрейда: "&amp;(BH15-X15)*База!$I$3&amp;")",""),"")&amp;BG16</f>
        <v>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5" s="135">
        <f t="shared" si="11"/>
        <v>4</v>
      </c>
      <c r="BI15" s="135">
        <f t="shared" si="12"/>
        <v>0</v>
      </c>
      <c r="BJ15" s="135"/>
      <c r="BK15" s="135" t="str">
        <f>IF((Z15&lt;&gt;""),"[br]"&amp;IF(AC15="у","[strike]","")&amp;$A15&amp;". "&amp;Z15&amp;" ("&amp;VLOOKUP(AA15,База!$A$13:$B$17,2,0)&amp;" "&amp;AB15&amp;" ур.)"&amp;IF(AC15="у","[/strike] (цена реорганизации: "&amp;AB15*База!$I$2&amp;")","")&amp;IF(AB15&lt;BL15," (цена апгрейда: "&amp;(BL15-AB15)*База!$I$3&amp;")",""),"")&amp;BK16</f>
        <v/>
      </c>
      <c r="BL15" s="135">
        <f t="shared" si="13"/>
        <v>0</v>
      </c>
      <c r="BM15" s="135">
        <f t="shared" si="14"/>
        <v>0</v>
      </c>
      <c r="BN15" s="135"/>
      <c r="BO15" s="135" t="str">
        <f>IF((AD15&lt;&gt;""),"[br]"&amp;IF(AG15="у","[strike]","")&amp;$A15&amp;". "&amp;AD15&amp;" ("&amp;VLOOKUP(AE15,База!$A$13:$B$17,2,0)&amp;" "&amp;AF15&amp;" ур.)"&amp;IF(AG15="у","[/strike] (цена реорганизации: "&amp;AF15*База!$I$2&amp;")","")&amp;IF(AF15&lt;BP15," (цена апгрейда: "&amp;(BP15-AF15)*База!$I$3&amp;")",""),"")&amp;BO16</f>
        <v/>
      </c>
      <c r="BP15" s="135">
        <f t="shared" si="15"/>
        <v>0</v>
      </c>
      <c r="BQ15" s="135">
        <f t="shared" si="16"/>
        <v>0</v>
      </c>
    </row>
    <row r="16" spans="1:70" x14ac:dyDescent="0.25">
      <c r="A16">
        <v>13</v>
      </c>
      <c r="B16" s="63" t="s">
        <v>587</v>
      </c>
      <c r="C16" s="281" t="s">
        <v>154</v>
      </c>
      <c r="D16" s="281">
        <v>4</v>
      </c>
      <c r="E16" s="65"/>
      <c r="F16" s="48"/>
      <c r="G16" s="50"/>
      <c r="H16" s="50"/>
      <c r="I16" s="50"/>
      <c r="J16" s="66"/>
      <c r="K16" s="68"/>
      <c r="L16" s="68"/>
      <c r="M16" s="68"/>
      <c r="N16" s="58" t="s">
        <v>474</v>
      </c>
      <c r="O16" s="268" t="s">
        <v>157</v>
      </c>
      <c r="P16" s="268">
        <v>2</v>
      </c>
      <c r="Q16" s="268" t="s">
        <v>155</v>
      </c>
      <c r="R16" s="72" t="s">
        <v>530</v>
      </c>
      <c r="S16" s="289" t="s">
        <v>158</v>
      </c>
      <c r="T16" s="289">
        <v>4</v>
      </c>
      <c r="U16" s="289"/>
      <c r="V16" s="69" t="s">
        <v>585</v>
      </c>
      <c r="W16" s="288" t="s">
        <v>154</v>
      </c>
      <c r="X16" s="288">
        <v>4</v>
      </c>
      <c r="Y16" s="288"/>
      <c r="Z16" s="26"/>
      <c r="AA16" s="28"/>
      <c r="AB16" s="28"/>
      <c r="AC16" s="28"/>
      <c r="AD16" s="53"/>
      <c r="AE16" s="55"/>
      <c r="AF16" s="55"/>
      <c r="AG16" s="55"/>
      <c r="AI16" s="72"/>
      <c r="AJ16" s="289"/>
      <c r="AK16" s="289"/>
      <c r="AL16" s="289"/>
      <c r="AM16" s="135" t="str">
        <f>IF((B16&lt;&gt;""),"[br]"&amp;IF(E16="у","[strike]","")&amp;$A16&amp;". "&amp;B16&amp;" ("&amp;VLOOKUP(C16,База!$A$13:$B$17,2,0)&amp;" "&amp;D16&amp;" ур.)"&amp;IF(E16="у","[/strike] (цена реорганизации: "&amp;D16*База!$I$2&amp;")","")&amp;IF(D16&lt;AN16," (цена апгрейда: "&amp;(AN16-D16)*База!$I$3&amp;")",""),"")&amp;AM17</f>
        <v>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6" s="135">
        <f t="shared" si="1"/>
        <v>4</v>
      </c>
      <c r="AO16" s="135">
        <f t="shared" si="2"/>
        <v>0</v>
      </c>
      <c r="AP16" s="135"/>
      <c r="AQ16" s="135" t="str">
        <f>IF((F16&lt;&gt;""),"[br]"&amp;IF(I16="у","[strike]","")&amp;$A16&amp;". "&amp;F16&amp;" ("&amp;VLOOKUP(G16,База!$A$13:$B$17,2,0)&amp;" "&amp;H16&amp;" ур.)"&amp;IF(I16="у","[/strike] (цена реорганизации: "&amp;H16*База!$I$2&amp;")","")&amp;IF(H16&lt;AR16," (цена апгрейда: "&amp;(AR16-H16)*База!$I$3&amp;")",""),"")&amp;AQ17</f>
        <v/>
      </c>
      <c r="AR16" s="135">
        <f t="shared" si="3"/>
        <v>0</v>
      </c>
      <c r="AS16" s="135">
        <f t="shared" si="4"/>
        <v>0</v>
      </c>
      <c r="AT16" s="135"/>
      <c r="AU16" s="135" t="str">
        <f>IF((J16&lt;&gt;""),"[br]"&amp;IF(M16="у","[strike]","")&amp;$A16&amp;". "&amp;J16&amp;" ("&amp;VLOOKUP(K16,База!$A$13:$B$17,2,0)&amp;" "&amp;L16&amp;" ур.)"&amp;IF(M16="у","[/strike] (цена реорганизации: "&amp;L16*База!$I$2&amp;")","")&amp;IF(L16&lt;AV16," (цена апгрейда: "&amp;(AV16-L16)*База!$I$3&amp;")",""),"")&amp;AU17</f>
        <v/>
      </c>
      <c r="AV16" s="135">
        <f t="shared" si="5"/>
        <v>0</v>
      </c>
      <c r="AW16" s="135">
        <f t="shared" si="6"/>
        <v>0</v>
      </c>
      <c r="AX16" s="135"/>
      <c r="AY16" s="247" t="str">
        <f>IF((N16&lt;&gt;""),"[br]"&amp;IF(Q16="у","[strike]","")&amp;$A16&amp;". "&amp;N16&amp;" ("&amp;VLOOKUP(O16,База!$A$13:$B$17,2,0)&amp;" "&amp;P16&amp;" ур.)"&amp;IF(Q16="у","[/strike] (цена реорганизации: "&amp;P16*База!$I$2&amp;")","")&amp;IF(P16&lt;AZ16," (цена апгрейда: "&amp;(AZ16-P16)*База!$I$3&amp;")",""),"")&amp;AY17</f>
        <v>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6" s="247">
        <f t="shared" si="7"/>
        <v>2</v>
      </c>
      <c r="BA16" s="247">
        <f t="shared" si="8"/>
        <v>0</v>
      </c>
      <c r="BB16" s="135"/>
      <c r="BC16" s="135" t="str">
        <f>IF((R16&lt;&gt;""),"[br]"&amp;IF(U16="у","[strike]","")&amp;$A16&amp;". "&amp;R16&amp;" ("&amp;VLOOKUP(S16,База!$A$13:$B$17,2,0)&amp;" "&amp;T16&amp;" ур.)"&amp;IF(U16="у","[/strike] (цена реорганизации: "&amp;T16*База!$I$2&amp;")","")&amp;IF(T16&lt;BD16," (цена апгрейда: "&amp;(BD16-T16)*База!$I$3&amp;")",""),"")&amp;BC17</f>
        <v>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6" s="135">
        <f t="shared" si="9"/>
        <v>4</v>
      </c>
      <c r="BE16" s="135">
        <f t="shared" si="10"/>
        <v>0</v>
      </c>
      <c r="BF16" s="135"/>
      <c r="BG16" s="135" t="str">
        <f>IF((V16&lt;&gt;""),"[br]"&amp;IF(Y16="у","[strike]","")&amp;$A16&amp;". "&amp;V16&amp;" ("&amp;VLOOKUP(W16,База!$A$13:$B$17,2,0)&amp;" "&amp;X16&amp;" ур.)"&amp;IF(Y16="у","[/strike] (цена реорганизации: "&amp;X16*База!$I$2&amp;")","")&amp;IF(X16&lt;BH16," (цена апгрейда: "&amp;(BH16-X16)*База!$I$3&amp;")",""),"")&amp;BG17</f>
        <v>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6" s="135">
        <f t="shared" si="11"/>
        <v>4</v>
      </c>
      <c r="BI16" s="135">
        <f t="shared" si="12"/>
        <v>0</v>
      </c>
      <c r="BJ16" s="135"/>
      <c r="BK16" s="135" t="str">
        <f>IF((Z16&lt;&gt;""),"[br]"&amp;IF(AC16="у","[strike]","")&amp;$A16&amp;". "&amp;Z16&amp;" ("&amp;VLOOKUP(AA16,База!$A$13:$B$17,2,0)&amp;" "&amp;AB16&amp;" ур.)"&amp;IF(AC16="у","[/strike] (цена реорганизации: "&amp;AB16*База!$I$2&amp;")","")&amp;IF(AB16&lt;BL16," (цена апгрейда: "&amp;(BL16-AB16)*База!$I$3&amp;")",""),"")&amp;BK17</f>
        <v/>
      </c>
      <c r="BL16" s="135">
        <f t="shared" si="13"/>
        <v>0</v>
      </c>
      <c r="BM16" s="135">
        <f t="shared" si="14"/>
        <v>0</v>
      </c>
      <c r="BN16" s="135"/>
      <c r="BO16" s="135" t="str">
        <f>IF((AD16&lt;&gt;""),"[br]"&amp;IF(AG16="у","[strike]","")&amp;$A16&amp;". "&amp;AD16&amp;" ("&amp;VLOOKUP(AE16,База!$A$13:$B$17,2,0)&amp;" "&amp;AF16&amp;" ур.)"&amp;IF(AG16="у","[/strike] (цена реорганизации: "&amp;AF16*База!$I$2&amp;")","")&amp;IF(AF16&lt;BP16," (цена апгрейда: "&amp;(BP16-AF16)*База!$I$3&amp;")",""),"")&amp;BO17</f>
        <v/>
      </c>
      <c r="BP16" s="135">
        <f t="shared" si="15"/>
        <v>0</v>
      </c>
      <c r="BQ16" s="135">
        <f t="shared" si="16"/>
        <v>0</v>
      </c>
    </row>
    <row r="17" spans="1:69" x14ac:dyDescent="0.25">
      <c r="A17">
        <v>14</v>
      </c>
      <c r="B17" s="63" t="s">
        <v>588</v>
      </c>
      <c r="C17" s="281" t="s">
        <v>153</v>
      </c>
      <c r="D17" s="281">
        <v>3</v>
      </c>
      <c r="E17" s="65"/>
      <c r="F17" s="48"/>
      <c r="G17" s="50"/>
      <c r="H17" s="50"/>
      <c r="I17" s="50"/>
      <c r="J17" s="66"/>
      <c r="K17" s="68"/>
      <c r="L17" s="68"/>
      <c r="M17" s="68"/>
      <c r="N17" s="58" t="s">
        <v>356</v>
      </c>
      <c r="O17" s="268" t="s">
        <v>157</v>
      </c>
      <c r="P17" s="268">
        <v>2</v>
      </c>
      <c r="Q17" s="268" t="s">
        <v>155</v>
      </c>
      <c r="R17" s="72" t="s">
        <v>568</v>
      </c>
      <c r="S17" s="289" t="s">
        <v>154</v>
      </c>
      <c r="T17" s="289">
        <v>4</v>
      </c>
      <c r="U17" s="289"/>
      <c r="V17" s="69" t="s">
        <v>491</v>
      </c>
      <c r="W17" s="288" t="s">
        <v>153</v>
      </c>
      <c r="X17" s="288">
        <v>1</v>
      </c>
      <c r="Y17" s="288" t="s">
        <v>155</v>
      </c>
      <c r="Z17" s="26"/>
      <c r="AA17" s="28"/>
      <c r="AB17" s="28"/>
      <c r="AC17" s="28"/>
      <c r="AD17" s="53"/>
      <c r="AE17" s="55"/>
      <c r="AF17" s="55"/>
      <c r="AG17" s="55"/>
      <c r="AI17" s="72"/>
      <c r="AJ17" s="289"/>
      <c r="AK17" s="289"/>
      <c r="AL17" s="289"/>
      <c r="AM17" s="135" t="str">
        <f>IF((B17&lt;&gt;""),"[br]"&amp;IF(E17="у","[strike]","")&amp;$A17&amp;". "&amp;B17&amp;" ("&amp;VLOOKUP(C17,База!$A$13:$B$17,2,0)&amp;" "&amp;D17&amp;" ур.)"&amp;IF(E17="у","[/strike] (цена реорганизации: "&amp;D17*База!$I$2&amp;")","")&amp;IF(D17&lt;AN17," (цена апгрейда: "&amp;(AN17-D17)*База!$I$3&amp;")",""),"")&amp;AM18</f>
        <v>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7" s="135">
        <f t="shared" si="1"/>
        <v>3</v>
      </c>
      <c r="AO17" s="135">
        <f t="shared" si="2"/>
        <v>0</v>
      </c>
      <c r="AP17" s="135"/>
      <c r="AQ17" s="135" t="str">
        <f>IF((F17&lt;&gt;""),"[br]"&amp;IF(I17="у","[strike]","")&amp;$A17&amp;". "&amp;F17&amp;" ("&amp;VLOOKUP(G17,База!$A$13:$B$17,2,0)&amp;" "&amp;H17&amp;" ур.)"&amp;IF(I17="у","[/strike] (цена реорганизации: "&amp;H17*База!$I$2&amp;")","")&amp;IF(H17&lt;AR17," (цена апгрейда: "&amp;(AR17-H17)*База!$I$3&amp;")",""),"")&amp;AQ18</f>
        <v/>
      </c>
      <c r="AR17" s="135">
        <f t="shared" si="3"/>
        <v>0</v>
      </c>
      <c r="AS17" s="135">
        <f t="shared" si="4"/>
        <v>0</v>
      </c>
      <c r="AT17" s="135"/>
      <c r="AU17" s="135" t="str">
        <f>IF((J17&lt;&gt;""),"[br]"&amp;IF(M17="у","[strike]","")&amp;$A17&amp;". "&amp;J17&amp;" ("&amp;VLOOKUP(K17,База!$A$13:$B$17,2,0)&amp;" "&amp;L17&amp;" ур.)"&amp;IF(M17="у","[/strike] (цена реорганизации: "&amp;L17*База!$I$2&amp;")","")&amp;IF(L17&lt;AV17," (цена апгрейда: "&amp;(AV17-L17)*База!$I$3&amp;")",""),"")&amp;AU18</f>
        <v/>
      </c>
      <c r="AV17" s="135">
        <f t="shared" si="5"/>
        <v>0</v>
      </c>
      <c r="AW17" s="135">
        <f t="shared" si="6"/>
        <v>0</v>
      </c>
      <c r="AX17" s="135"/>
      <c r="AY17" s="247" t="str">
        <f>IF((N17&lt;&gt;""),"[br]"&amp;IF(Q17="у","[strike]","")&amp;$A17&amp;". "&amp;N17&amp;" ("&amp;VLOOKUP(O17,База!$A$13:$B$17,2,0)&amp;" "&amp;P17&amp;" ур.)"&amp;IF(Q17="у","[/strike] (цена реорганизации: "&amp;P17*База!$I$2&amp;")","")&amp;IF(P17&lt;AZ17," (цена апгрейда: "&amp;(AZ17-P17)*База!$I$3&amp;")",""),"")&amp;AY18</f>
        <v>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7" s="247">
        <f t="shared" si="7"/>
        <v>2</v>
      </c>
      <c r="BA17" s="247">
        <f t="shared" si="8"/>
        <v>0</v>
      </c>
      <c r="BB17" s="135"/>
      <c r="BC17" s="135" t="str">
        <f>IF((R17&lt;&gt;""),"[br]"&amp;IF(U17="у","[strike]","")&amp;$A17&amp;". "&amp;R17&amp;" ("&amp;VLOOKUP(S17,База!$A$13:$B$17,2,0)&amp;" "&amp;T17&amp;" ур.)"&amp;IF(U17="у","[/strike] (цена реорганизации: "&amp;T17*База!$I$2&amp;")","")&amp;IF(T17&lt;BD17," (цена апгрейда: "&amp;(BD17-T17)*База!$I$3&amp;")",""),"")&amp;BC18</f>
        <v>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7" s="135">
        <f t="shared" si="9"/>
        <v>4</v>
      </c>
      <c r="BE17" s="135">
        <f t="shared" si="10"/>
        <v>0</v>
      </c>
      <c r="BF17" s="135"/>
      <c r="BG17" s="135" t="str">
        <f>IF((V17&lt;&gt;""),"[br]"&amp;IF(Y17="у","[strike]","")&amp;$A17&amp;". "&amp;V17&amp;" ("&amp;VLOOKUP(W17,База!$A$13:$B$17,2,0)&amp;" "&amp;X17&amp;" ур.)"&amp;IF(Y17="у","[/strike] (цена реорганизации: "&amp;X17*База!$I$2&amp;")","")&amp;IF(X17&lt;BH17," (цена апгрейда: "&amp;(BH17-X17)*База!$I$3&amp;")",""),"")&amp;BG18</f>
        <v>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7" s="135">
        <f t="shared" si="11"/>
        <v>1</v>
      </c>
      <c r="BI17" s="135">
        <f t="shared" si="12"/>
        <v>0</v>
      </c>
      <c r="BJ17" s="135"/>
      <c r="BK17" s="135" t="str">
        <f>IF((Z17&lt;&gt;""),"[br]"&amp;IF(AC17="у","[strike]","")&amp;$A17&amp;". "&amp;Z17&amp;" ("&amp;VLOOKUP(AA17,База!$A$13:$B$17,2,0)&amp;" "&amp;AB17&amp;" ур.)"&amp;IF(AC17="у","[/strike] (цена реорганизации: "&amp;AB17*База!$I$2&amp;")","")&amp;IF(AB17&lt;BL17," (цена апгрейда: "&amp;(BL17-AB17)*База!$I$3&amp;")",""),"")&amp;BK18</f>
        <v/>
      </c>
      <c r="BL17" s="135">
        <f t="shared" si="13"/>
        <v>0</v>
      </c>
      <c r="BM17" s="135">
        <f t="shared" si="14"/>
        <v>0</v>
      </c>
      <c r="BN17" s="135"/>
      <c r="BO17" s="135" t="str">
        <f>IF((AD17&lt;&gt;""),"[br]"&amp;IF(AG17="у","[strike]","")&amp;$A17&amp;". "&amp;AD17&amp;" ("&amp;VLOOKUP(AE17,База!$A$13:$B$17,2,0)&amp;" "&amp;AF17&amp;" ур.)"&amp;IF(AG17="у","[/strike] (цена реорганизации: "&amp;AF17*База!$I$2&amp;")","")&amp;IF(AF17&lt;BP17," (цена апгрейда: "&amp;(BP17-AF17)*База!$I$3&amp;")",""),"")&amp;BO18</f>
        <v/>
      </c>
      <c r="BP17" s="135">
        <f t="shared" si="15"/>
        <v>0</v>
      </c>
      <c r="BQ17" s="135">
        <f t="shared" si="16"/>
        <v>0</v>
      </c>
    </row>
    <row r="18" spans="1:69" x14ac:dyDescent="0.25">
      <c r="A18">
        <v>15</v>
      </c>
      <c r="B18" s="63" t="s">
        <v>589</v>
      </c>
      <c r="C18" s="281" t="s">
        <v>158</v>
      </c>
      <c r="D18" s="281">
        <v>4</v>
      </c>
      <c r="E18" s="267" t="s">
        <v>155</v>
      </c>
      <c r="F18" s="48"/>
      <c r="G18" s="50"/>
      <c r="H18" s="50"/>
      <c r="I18" s="50"/>
      <c r="J18" s="66"/>
      <c r="K18" s="68"/>
      <c r="L18" s="68"/>
      <c r="M18" s="68"/>
      <c r="N18" s="58" t="s">
        <v>475</v>
      </c>
      <c r="O18" s="268" t="s">
        <v>157</v>
      </c>
      <c r="P18" s="268">
        <v>2</v>
      </c>
      <c r="Q18" s="268" t="s">
        <v>155</v>
      </c>
      <c r="R18" s="72" t="s">
        <v>536</v>
      </c>
      <c r="S18" s="289" t="s">
        <v>154</v>
      </c>
      <c r="T18" s="289">
        <v>4</v>
      </c>
      <c r="U18" s="289"/>
      <c r="V18" s="69" t="s">
        <v>558</v>
      </c>
      <c r="W18" s="288" t="s">
        <v>153</v>
      </c>
      <c r="X18" s="288">
        <v>1</v>
      </c>
      <c r="Y18" s="288" t="s">
        <v>155</v>
      </c>
      <c r="Z18" s="26"/>
      <c r="AA18" s="28"/>
      <c r="AB18" s="28"/>
      <c r="AC18" s="28"/>
      <c r="AD18" s="53"/>
      <c r="AE18" s="55"/>
      <c r="AF18" s="55"/>
      <c r="AG18" s="55"/>
      <c r="AM18" s="135" t="str">
        <f>IF((B18&lt;&gt;""),"[br]"&amp;IF(E18="у","[strike]","")&amp;$A18&amp;". "&amp;B18&amp;" ("&amp;VLOOKUP(C18,База!$A$13:$B$17,2,0)&amp;" "&amp;D18&amp;" ур.)"&amp;IF(E18="у","[/strike] (цена реорганизации: "&amp;D18*База!$I$2&amp;")","")&amp;IF(D18&lt;AN18," (цена апгрейда: "&amp;(AN18-D18)*База!$I$3&amp;")",""),"")&amp;AM19</f>
        <v>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8" s="135">
        <f t="shared" si="1"/>
        <v>4</v>
      </c>
      <c r="AO18" s="135">
        <f t="shared" si="2"/>
        <v>0</v>
      </c>
      <c r="AP18" s="135"/>
      <c r="AQ18" s="135" t="str">
        <f>IF((F18&lt;&gt;""),"[br]"&amp;IF(I18="у","[strike]","")&amp;$A18&amp;". "&amp;F18&amp;" ("&amp;VLOOKUP(G18,База!$A$13:$B$17,2,0)&amp;" "&amp;H18&amp;" ур.)"&amp;IF(I18="у","[/strike] (цена реорганизации: "&amp;H18*База!$I$2&amp;")","")&amp;IF(H18&lt;AR18," (цена апгрейда: "&amp;(AR18-H18)*База!$I$3&amp;")",""),"")&amp;AQ19</f>
        <v/>
      </c>
      <c r="AR18" s="135">
        <f t="shared" si="3"/>
        <v>0</v>
      </c>
      <c r="AS18" s="135">
        <f t="shared" si="4"/>
        <v>0</v>
      </c>
      <c r="AT18" s="135"/>
      <c r="AU18" s="135" t="str">
        <f>IF((J18&lt;&gt;""),"[br]"&amp;IF(M18="у","[strike]","")&amp;$A18&amp;". "&amp;J18&amp;" ("&amp;VLOOKUP(K18,База!$A$13:$B$17,2,0)&amp;" "&amp;L18&amp;" ур.)"&amp;IF(M18="у","[/strike] (цена реорганизации: "&amp;L18*База!$I$2&amp;")","")&amp;IF(L18&lt;AV18," (цена апгрейда: "&amp;(AV18-L18)*База!$I$3&amp;")",""),"")&amp;AU19</f>
        <v/>
      </c>
      <c r="AV18" s="135">
        <f t="shared" si="5"/>
        <v>0</v>
      </c>
      <c r="AW18" s="135">
        <f t="shared" si="6"/>
        <v>0</v>
      </c>
      <c r="AX18" s="135"/>
      <c r="AY18" s="247" t="str">
        <f>IF((N18&lt;&gt;""),"[br]"&amp;IF(Q18="у","[strike]","")&amp;$A18&amp;". "&amp;N18&amp;" ("&amp;VLOOKUP(O18,База!$A$13:$B$17,2,0)&amp;" "&amp;P18&amp;" ур.)"&amp;IF(Q18="у","[/strike] (цена реорганизации: "&amp;P18*База!$I$2&amp;")","")&amp;IF(P18&lt;AZ18," (цена апгрейда: "&amp;(AZ18-P18)*База!$I$3&amp;")",""),"")&amp;AY19</f>
        <v>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8" s="247">
        <f t="shared" si="7"/>
        <v>2</v>
      </c>
      <c r="BA18" s="247">
        <f t="shared" si="8"/>
        <v>0</v>
      </c>
      <c r="BB18" s="135"/>
      <c r="BC18" s="135" t="str">
        <f>IF((R18&lt;&gt;""),"[br]"&amp;IF(U18="у","[strike]","")&amp;$A18&amp;". "&amp;R18&amp;" ("&amp;VLOOKUP(S18,База!$A$13:$B$17,2,0)&amp;" "&amp;T18&amp;" ур.)"&amp;IF(U18="у","[/strike] (цена реорганизации: "&amp;T18*База!$I$2&amp;")","")&amp;IF(T18&lt;BD18," (цена апгрейда: "&amp;(BD18-T18)*База!$I$3&amp;")",""),"")&amp;BC19</f>
        <v>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8" s="135">
        <f t="shared" si="9"/>
        <v>4</v>
      </c>
      <c r="BE18" s="135">
        <f t="shared" si="10"/>
        <v>0</v>
      </c>
      <c r="BF18" s="135"/>
      <c r="BG18" s="135" t="str">
        <f>IF((V18&lt;&gt;""),"[br]"&amp;IF(Y18="у","[strike]","")&amp;$A18&amp;". "&amp;V18&amp;" ("&amp;VLOOKUP(W18,База!$A$13:$B$17,2,0)&amp;" "&amp;X18&amp;" ур.)"&amp;IF(Y18="у","[/strike] (цена реорганизации: "&amp;X18*База!$I$2&amp;")","")&amp;IF(X18&lt;BH18," (цена апгрейда: "&amp;(BH18-X18)*База!$I$3&amp;")",""),"")&amp;BG19</f>
        <v>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8" s="135">
        <f t="shared" si="11"/>
        <v>1</v>
      </c>
      <c r="BI18" s="135">
        <f t="shared" si="12"/>
        <v>0</v>
      </c>
      <c r="BJ18" s="135"/>
      <c r="BK18" s="135" t="str">
        <f>IF((Z18&lt;&gt;""),"[br]"&amp;IF(AC18="у","[strike]","")&amp;$A18&amp;". "&amp;Z18&amp;" ("&amp;VLOOKUP(AA18,База!$A$13:$B$17,2,0)&amp;" "&amp;AB18&amp;" ур.)"&amp;IF(AC18="у","[/strike] (цена реорганизации: "&amp;AB18*База!$I$2&amp;")","")&amp;IF(AB18&lt;BL18," (цена апгрейда: "&amp;(BL18-AB18)*База!$I$3&amp;")",""),"")&amp;BK19</f>
        <v/>
      </c>
      <c r="BL18" s="135">
        <f t="shared" si="13"/>
        <v>0</v>
      </c>
      <c r="BM18" s="135">
        <f t="shared" si="14"/>
        <v>0</v>
      </c>
      <c r="BN18" s="135"/>
      <c r="BO18" s="135" t="str">
        <f>IF((AD18&lt;&gt;""),"[br]"&amp;IF(AG18="у","[strike]","")&amp;$A18&amp;". "&amp;AD18&amp;" ("&amp;VLOOKUP(AE18,База!$A$13:$B$17,2,0)&amp;" "&amp;AF18&amp;" ур.)"&amp;IF(AG18="у","[/strike] (цена реорганизации: "&amp;AF18*База!$I$2&amp;")","")&amp;IF(AF18&lt;BP18," (цена апгрейда: "&amp;(BP18-AF18)*База!$I$3&amp;")",""),"")&amp;BO19</f>
        <v/>
      </c>
      <c r="BP18" s="135">
        <f t="shared" si="15"/>
        <v>0</v>
      </c>
      <c r="BQ18" s="135">
        <f t="shared" si="16"/>
        <v>0</v>
      </c>
    </row>
    <row r="19" spans="1:69" x14ac:dyDescent="0.25">
      <c r="A19">
        <v>16</v>
      </c>
      <c r="B19" s="63" t="s">
        <v>590</v>
      </c>
      <c r="C19" s="271" t="s">
        <v>154</v>
      </c>
      <c r="D19" s="271">
        <v>4</v>
      </c>
      <c r="E19" s="267" t="s">
        <v>622</v>
      </c>
      <c r="F19" s="48"/>
      <c r="G19" s="50"/>
      <c r="H19" s="50"/>
      <c r="I19" s="50"/>
      <c r="J19" s="66"/>
      <c r="K19" s="68"/>
      <c r="L19" s="68"/>
      <c r="M19" s="68"/>
      <c r="N19" s="58" t="s">
        <v>357</v>
      </c>
      <c r="O19" s="268" t="s">
        <v>157</v>
      </c>
      <c r="P19" s="268">
        <v>2</v>
      </c>
      <c r="Q19" s="268" t="s">
        <v>155</v>
      </c>
      <c r="R19" s="72" t="s">
        <v>537</v>
      </c>
      <c r="S19" s="289" t="s">
        <v>154</v>
      </c>
      <c r="T19" s="289">
        <v>4</v>
      </c>
      <c r="U19" s="289"/>
      <c r="V19" s="69" t="s">
        <v>583</v>
      </c>
      <c r="W19" s="288" t="s">
        <v>153</v>
      </c>
      <c r="X19" s="288">
        <v>1</v>
      </c>
      <c r="Y19" s="288" t="s">
        <v>155</v>
      </c>
      <c r="Z19" s="26"/>
      <c r="AA19" s="266"/>
      <c r="AB19" s="266"/>
      <c r="AC19" s="266"/>
      <c r="AD19" s="53"/>
      <c r="AE19" s="55"/>
      <c r="AF19" s="55"/>
      <c r="AG19" s="55"/>
      <c r="AM19" s="135" t="str">
        <f>IF((B19&lt;&gt;""),"[br]"&amp;IF(E19="у","[strike]","")&amp;$A19&amp;". "&amp;B19&amp;" ("&amp;VLOOKUP(C19,База!$A$13:$B$17,2,0)&amp;" "&amp;D19&amp;" ур.)"&amp;IF(E19="у","[/strike] (цена реорганизации: "&amp;D19*База!$I$2&amp;")","")&amp;IF(D19&lt;AN19," (цена апгрейда: "&amp;(AN19-D19)*База!$I$3&amp;")",""),"")&amp;AM20</f>
        <v>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19" s="135">
        <f t="shared" si="1"/>
        <v>4</v>
      </c>
      <c r="AO19" s="135">
        <f t="shared" si="2"/>
        <v>0</v>
      </c>
      <c r="AP19" s="135"/>
      <c r="AQ19" s="135" t="str">
        <f>IF((F19&lt;&gt;""),"[br]"&amp;IF(I19="у","[strike]","")&amp;$A19&amp;". "&amp;F19&amp;" ("&amp;VLOOKUP(G19,База!$A$13:$B$17,2,0)&amp;" "&amp;H19&amp;" ур.)"&amp;IF(I19="у","[/strike] (цена реорганизации: "&amp;H19*База!$I$2&amp;")","")&amp;IF(H19&lt;AR19," (цена апгрейда: "&amp;(AR19-H19)*База!$I$3&amp;")",""),"")&amp;AQ20</f>
        <v/>
      </c>
      <c r="AR19" s="135">
        <f t="shared" si="3"/>
        <v>0</v>
      </c>
      <c r="AS19" s="135">
        <f t="shared" si="4"/>
        <v>0</v>
      </c>
      <c r="AT19" s="135"/>
      <c r="AU19" s="135" t="str">
        <f>IF((J19&lt;&gt;""),"[br]"&amp;IF(M19="у","[strike]","")&amp;$A19&amp;". "&amp;J19&amp;" ("&amp;VLOOKUP(K19,База!$A$13:$B$17,2,0)&amp;" "&amp;L19&amp;" ур.)"&amp;IF(M19="у","[/strike] (цена реорганизации: "&amp;L19*База!$I$2&amp;")","")&amp;IF(L19&lt;AV19," (цена апгрейда: "&amp;(AV19-L19)*База!$I$3&amp;")",""),"")&amp;AU20</f>
        <v/>
      </c>
      <c r="AV19" s="135">
        <f t="shared" si="5"/>
        <v>0</v>
      </c>
      <c r="AW19" s="135">
        <f t="shared" si="6"/>
        <v>0</v>
      </c>
      <c r="AX19" s="135"/>
      <c r="AY19" s="247" t="str">
        <f>IF((N19&lt;&gt;""),"[br]"&amp;IF(Q19="у","[strike]","")&amp;$A19&amp;". "&amp;N19&amp;" ("&amp;VLOOKUP(O19,База!$A$13:$B$17,2,0)&amp;" "&amp;P19&amp;" ур.)"&amp;IF(Q19="у","[/strike] (цена реорганизации: "&amp;P19*База!$I$2&amp;")","")&amp;IF(P19&lt;AZ19," (цена апгрейда: "&amp;(AZ19-P19)*База!$I$3&amp;")",""),"")&amp;AY20</f>
        <v>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19" s="247">
        <f t="shared" si="7"/>
        <v>2</v>
      </c>
      <c r="BA19" s="247">
        <f t="shared" si="8"/>
        <v>0</v>
      </c>
      <c r="BB19" s="135"/>
      <c r="BC19" s="135" t="str">
        <f>IF((R19&lt;&gt;""),"[br]"&amp;IF(U19="у","[strike]","")&amp;$A19&amp;". "&amp;R19&amp;" ("&amp;VLOOKUP(S19,База!$A$13:$B$17,2,0)&amp;" "&amp;T19&amp;" ур.)"&amp;IF(U19="у","[/strike] (цена реорганизации: "&amp;T19*База!$I$2&amp;")","")&amp;IF(T19&lt;BD19," (цена апгрейда: "&amp;(BD19-T19)*База!$I$3&amp;")",""),"")&amp;BC20</f>
        <v>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19" s="135">
        <f t="shared" si="9"/>
        <v>4</v>
      </c>
      <c r="BE19" s="135">
        <f t="shared" si="10"/>
        <v>0</v>
      </c>
      <c r="BF19" s="135"/>
      <c r="BG19" s="135" t="str">
        <f>IF((V19&lt;&gt;""),"[br]"&amp;IF(Y19="у","[strike]","")&amp;$A19&amp;". "&amp;V19&amp;" ("&amp;VLOOKUP(W19,База!$A$13:$B$17,2,0)&amp;" "&amp;X19&amp;" ур.)"&amp;IF(Y19="у","[/strike] (цена реорганизации: "&amp;X19*База!$I$2&amp;")","")&amp;IF(X19&lt;BH19," (цена апгрейда: "&amp;(BH19-X19)*База!$I$3&amp;")",""),"")&amp;BG20</f>
        <v>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19" s="135">
        <f t="shared" si="11"/>
        <v>1</v>
      </c>
      <c r="BI19" s="135">
        <f t="shared" si="12"/>
        <v>0</v>
      </c>
      <c r="BJ19" s="135"/>
      <c r="BK19" s="135" t="str">
        <f>IF((Z19&lt;&gt;""),"[br]"&amp;IF(AC19="у","[strike]","")&amp;$A19&amp;". "&amp;Z19&amp;" ("&amp;VLOOKUP(AA19,База!$A$13:$B$17,2,0)&amp;" "&amp;AB19&amp;" ур.)"&amp;IF(AC19="у","[/strike] (цена реорганизации: "&amp;AB19*База!$I$2&amp;")","")&amp;IF(AB19&lt;BL19," (цена апгрейда: "&amp;(BL19-AB19)*База!$I$3&amp;")",""),"")&amp;BK20</f>
        <v/>
      </c>
      <c r="BL19" s="135">
        <f t="shared" si="13"/>
        <v>0</v>
      </c>
      <c r="BM19" s="135">
        <f t="shared" si="14"/>
        <v>0</v>
      </c>
      <c r="BN19" s="135"/>
      <c r="BO19" s="135" t="str">
        <f>IF((AD19&lt;&gt;""),"[br]"&amp;IF(AG19="у","[strike]","")&amp;$A19&amp;". "&amp;AD19&amp;" ("&amp;VLOOKUP(AE19,База!$A$13:$B$17,2,0)&amp;" "&amp;AF19&amp;" ур.)"&amp;IF(AG19="у","[/strike] (цена реорганизации: "&amp;AF19*База!$I$2&amp;")","")&amp;IF(AF19&lt;BP19," (цена апгрейда: "&amp;(BP19-AF19)*База!$I$3&amp;")",""),"")&amp;BO20</f>
        <v/>
      </c>
      <c r="BP19" s="135">
        <f t="shared" si="15"/>
        <v>0</v>
      </c>
      <c r="BQ19" s="135">
        <f t="shared" si="16"/>
        <v>0</v>
      </c>
    </row>
    <row r="20" spans="1:69" x14ac:dyDescent="0.25">
      <c r="A20">
        <v>17</v>
      </c>
      <c r="B20" s="63" t="s">
        <v>605</v>
      </c>
      <c r="C20" s="286" t="s">
        <v>158</v>
      </c>
      <c r="D20" s="286">
        <v>4</v>
      </c>
      <c r="E20" s="267"/>
      <c r="F20" s="48"/>
      <c r="G20" s="50"/>
      <c r="H20" s="50"/>
      <c r="I20" s="50"/>
      <c r="J20" s="66"/>
      <c r="K20" s="252"/>
      <c r="L20" s="252"/>
      <c r="M20" s="252"/>
      <c r="N20" s="58" t="s">
        <v>449</v>
      </c>
      <c r="O20" s="268" t="s">
        <v>157</v>
      </c>
      <c r="P20" s="268">
        <v>2</v>
      </c>
      <c r="Q20" s="268" t="s">
        <v>155</v>
      </c>
      <c r="R20" s="72" t="s">
        <v>535</v>
      </c>
      <c r="S20" s="289" t="s">
        <v>153</v>
      </c>
      <c r="T20" s="289">
        <v>3</v>
      </c>
      <c r="U20" s="289"/>
      <c r="V20" s="69" t="s">
        <v>482</v>
      </c>
      <c r="W20" s="288" t="s">
        <v>154</v>
      </c>
      <c r="X20" s="288">
        <v>3</v>
      </c>
      <c r="Y20" s="288" t="s">
        <v>155</v>
      </c>
      <c r="Z20" s="26"/>
      <c r="AA20" s="266"/>
      <c r="AB20" s="266"/>
      <c r="AC20" s="266"/>
      <c r="AD20" s="53"/>
      <c r="AE20" s="55"/>
      <c r="AF20" s="55"/>
      <c r="AG20" s="55"/>
      <c r="AI20" s="72"/>
      <c r="AJ20" s="289"/>
      <c r="AK20" s="289"/>
      <c r="AL20" s="289"/>
      <c r="AM20" s="135" t="str">
        <f>IF((B20&lt;&gt;""),"[br]"&amp;IF(E20="у","[strike]","")&amp;$A20&amp;". "&amp;B20&amp;" ("&amp;VLOOKUP(C20,База!$A$13:$B$17,2,0)&amp;" "&amp;D20&amp;" ур.)"&amp;IF(E20="у","[/strike] (цена реорганизации: "&amp;D20*База!$I$2&amp;")","")&amp;IF(D20&lt;AN20," (цена апгрейда: "&amp;(AN20-D20)*База!$I$3&amp;")",""),"")&amp;AM21</f>
        <v>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20" s="135">
        <f t="shared" si="1"/>
        <v>4</v>
      </c>
      <c r="AO20" s="135">
        <f t="shared" si="2"/>
        <v>0</v>
      </c>
      <c r="AP20" s="135"/>
      <c r="AQ20" s="135" t="str">
        <f>IF((F20&lt;&gt;""),"[br]"&amp;IF(I20="у","[strike]","")&amp;$A20&amp;". "&amp;F20&amp;" ("&amp;VLOOKUP(G20,База!$A$13:$B$17,2,0)&amp;" "&amp;H20&amp;" ур.)"&amp;IF(I20="у","[/strike] (цена реорганизации: "&amp;H20*База!$I$2&amp;")","")&amp;IF(H20&lt;AR20," (цена апгрейда: "&amp;(AR20-H20)*База!$I$3&amp;")",""),"")&amp;AQ21</f>
        <v/>
      </c>
      <c r="AR20" s="135">
        <f t="shared" si="3"/>
        <v>0</v>
      </c>
      <c r="AS20" s="135">
        <f t="shared" si="4"/>
        <v>0</v>
      </c>
      <c r="AT20" s="135"/>
      <c r="AU20" s="135" t="str">
        <f>IF((J20&lt;&gt;""),"[br]"&amp;IF(M20="у","[strike]","")&amp;$A20&amp;". "&amp;J20&amp;" ("&amp;VLOOKUP(K20,База!$A$13:$B$17,2,0)&amp;" "&amp;L20&amp;" ур.)"&amp;IF(M20="у","[/strike] (цена реорганизации: "&amp;L20*База!$I$2&amp;")","")&amp;IF(L20&lt;AV20," (цена апгрейда: "&amp;(AV20-L20)*База!$I$3&amp;")",""),"")&amp;AU21</f>
        <v/>
      </c>
      <c r="AV20" s="135">
        <f t="shared" si="5"/>
        <v>0</v>
      </c>
      <c r="AW20" s="135">
        <f t="shared" si="6"/>
        <v>0</v>
      </c>
      <c r="AX20" s="135"/>
      <c r="AY20" s="247" t="str">
        <f>IF((N20&lt;&gt;""),"[br]"&amp;IF(Q20="у","[strike]","")&amp;$A20&amp;". "&amp;N20&amp;" ("&amp;VLOOKUP(O20,База!$A$13:$B$17,2,0)&amp;" "&amp;P20&amp;" ур.)"&amp;IF(Q20="у","[/strike] (цена реорганизации: "&amp;P20*База!$I$2&amp;")","")&amp;IF(P20&lt;AZ20," (цена апгрейда: "&amp;(AZ20-P20)*База!$I$3&amp;")",""),"")&amp;AY21</f>
        <v>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0" s="247">
        <f t="shared" si="7"/>
        <v>2</v>
      </c>
      <c r="BA20" s="247">
        <f t="shared" si="8"/>
        <v>0</v>
      </c>
      <c r="BB20" s="135"/>
      <c r="BC20" s="135" t="str">
        <f>IF((R20&lt;&gt;""),"[br]"&amp;IF(U20="у","[strike]","")&amp;$A20&amp;". "&amp;R20&amp;" ("&amp;VLOOKUP(S20,База!$A$13:$B$17,2,0)&amp;" "&amp;T20&amp;" ур.)"&amp;IF(U20="у","[/strike] (цена реорганизации: "&amp;T20*База!$I$2&amp;")","")&amp;IF(T20&lt;BD20," (цена апгрейда: "&amp;(BD20-T20)*База!$I$3&amp;")",""),"")&amp;BC21</f>
        <v>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0" s="135">
        <f t="shared" si="9"/>
        <v>3</v>
      </c>
      <c r="BE20" s="135">
        <f t="shared" si="10"/>
        <v>0</v>
      </c>
      <c r="BF20" s="135"/>
      <c r="BG20" s="135" t="str">
        <f>IF((V20&lt;&gt;""),"[br]"&amp;IF(Y20="у","[strike]","")&amp;$A20&amp;". "&amp;V20&amp;" ("&amp;VLOOKUP(W20,База!$A$13:$B$17,2,0)&amp;" "&amp;X20&amp;" ур.)"&amp;IF(Y20="у","[/strike] (цена реорганизации: "&amp;X20*База!$I$2&amp;")","")&amp;IF(X20&lt;BH20," (цена апгрейда: "&amp;(BH20-X20)*База!$I$3&amp;")",""),"")&amp;BG21</f>
        <v>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0" s="135">
        <f t="shared" si="11"/>
        <v>4</v>
      </c>
      <c r="BI20" s="135">
        <f t="shared" si="12"/>
        <v>1</v>
      </c>
      <c r="BJ20" s="135"/>
      <c r="BK20" s="135" t="str">
        <f>IF((Z20&lt;&gt;""),"[br]"&amp;IF(AC20="у","[strike]","")&amp;$A20&amp;". "&amp;Z20&amp;" ("&amp;VLOOKUP(AA20,База!$A$13:$B$17,2,0)&amp;" "&amp;AB20&amp;" ур.)"&amp;IF(AC20="у","[/strike] (цена реорганизации: "&amp;AB20*База!$I$2&amp;")","")&amp;IF(AB20&lt;BL20," (цена апгрейда: "&amp;(BL20-AB20)*База!$I$3&amp;")",""),"")&amp;BK21</f>
        <v/>
      </c>
      <c r="BL20" s="135">
        <f t="shared" si="13"/>
        <v>0</v>
      </c>
      <c r="BM20" s="135">
        <f t="shared" si="14"/>
        <v>0</v>
      </c>
      <c r="BN20" s="135"/>
      <c r="BO20" s="135" t="str">
        <f>IF((AD20&lt;&gt;""),"[br]"&amp;IF(AG20="у","[strike]","")&amp;$A20&amp;". "&amp;AD20&amp;" ("&amp;VLOOKUP(AE20,База!$A$13:$B$17,2,0)&amp;" "&amp;AF20&amp;" ур.)"&amp;IF(AG20="у","[/strike] (цена реорганизации: "&amp;AF20*База!$I$2&amp;")","")&amp;IF(AF20&lt;BP20," (цена апгрейда: "&amp;(BP20-AF20)*База!$I$3&amp;")",""),"")&amp;BO21</f>
        <v/>
      </c>
      <c r="BP20" s="135">
        <f t="shared" si="15"/>
        <v>0</v>
      </c>
      <c r="BQ20" s="135">
        <f t="shared" si="16"/>
        <v>0</v>
      </c>
    </row>
    <row r="21" spans="1:69" x14ac:dyDescent="0.25">
      <c r="A21">
        <v>18</v>
      </c>
      <c r="B21" s="63" t="s">
        <v>606</v>
      </c>
      <c r="C21" s="286" t="s">
        <v>154</v>
      </c>
      <c r="D21" s="286">
        <v>4</v>
      </c>
      <c r="E21" s="267"/>
      <c r="F21" s="48"/>
      <c r="G21" s="50"/>
      <c r="H21" s="50"/>
      <c r="I21" s="50"/>
      <c r="J21" s="66"/>
      <c r="K21" s="252"/>
      <c r="L21" s="252"/>
      <c r="M21" s="252"/>
      <c r="N21" s="58" t="s">
        <v>349</v>
      </c>
      <c r="O21" s="268" t="s">
        <v>156</v>
      </c>
      <c r="P21" s="268">
        <v>1</v>
      </c>
      <c r="Q21" s="268" t="s">
        <v>155</v>
      </c>
      <c r="R21" s="72" t="s">
        <v>540</v>
      </c>
      <c r="S21" s="289" t="s">
        <v>154</v>
      </c>
      <c r="T21" s="289">
        <v>4</v>
      </c>
      <c r="U21" s="289"/>
      <c r="V21" s="69" t="s">
        <v>343</v>
      </c>
      <c r="W21" s="288" t="s">
        <v>156</v>
      </c>
      <c r="X21" s="288">
        <v>2</v>
      </c>
      <c r="Y21" s="288" t="s">
        <v>155</v>
      </c>
      <c r="Z21" s="26"/>
      <c r="AA21" s="266"/>
      <c r="AB21" s="266"/>
      <c r="AC21" s="266"/>
      <c r="AD21" s="53"/>
      <c r="AE21" s="55"/>
      <c r="AF21" s="55"/>
      <c r="AG21" s="55"/>
      <c r="AI21" s="72"/>
      <c r="AJ21" s="289"/>
      <c r="AK21" s="289"/>
      <c r="AL21" s="289"/>
      <c r="AM21" s="135" t="str">
        <f>IF((B21&lt;&gt;""),"[br]"&amp;IF(E21="у","[strike]","")&amp;$A21&amp;". "&amp;B21&amp;" ("&amp;VLOOKUP(C21,База!$A$13:$B$17,2,0)&amp;" "&amp;D21&amp;" ур.)"&amp;IF(E21="у","[/strike] (цена реорганизации: "&amp;D21*База!$I$2&amp;")","")&amp;IF(D21&lt;AN21," (цена апгрейда: "&amp;(AN21-D21)*База!$I$3&amp;")",""),"")&amp;AM22</f>
        <v>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21" s="135">
        <f t="shared" si="1"/>
        <v>4</v>
      </c>
      <c r="AO21" s="135">
        <f t="shared" si="2"/>
        <v>0</v>
      </c>
      <c r="AP21" s="135"/>
      <c r="AQ21" s="135" t="str">
        <f>IF((F21&lt;&gt;""),"[br]"&amp;IF(I21="у","[strike]","")&amp;$A21&amp;". "&amp;F21&amp;" ("&amp;VLOOKUP(G21,База!$A$13:$B$17,2,0)&amp;" "&amp;H21&amp;" ур.)"&amp;IF(I21="у","[/strike] (цена реорганизации: "&amp;H21*База!$I$2&amp;")","")&amp;IF(H21&lt;AR21," (цена апгрейда: "&amp;(AR21-H21)*База!$I$3&amp;")",""),"")&amp;AQ22</f>
        <v/>
      </c>
      <c r="AR21" s="135">
        <f t="shared" si="3"/>
        <v>0</v>
      </c>
      <c r="AS21" s="135">
        <f t="shared" si="4"/>
        <v>0</v>
      </c>
      <c r="AT21" s="135"/>
      <c r="AU21" s="135" t="str">
        <f>IF((J21&lt;&gt;""),"[br]"&amp;IF(M21="у","[strike]","")&amp;$A21&amp;". "&amp;J21&amp;" ("&amp;VLOOKUP(K21,База!$A$13:$B$17,2,0)&amp;" "&amp;L21&amp;" ур.)"&amp;IF(M21="у","[/strike] (цена реорганизации: "&amp;L21*База!$I$2&amp;")","")&amp;IF(L21&lt;AV21," (цена апгрейда: "&amp;(AV21-L21)*База!$I$3&amp;")",""),"")&amp;AU22</f>
        <v/>
      </c>
      <c r="AV21" s="135">
        <f t="shared" si="5"/>
        <v>0</v>
      </c>
      <c r="AW21" s="135">
        <f t="shared" si="6"/>
        <v>0</v>
      </c>
      <c r="AX21" s="135"/>
      <c r="AY21" s="247" t="str">
        <f>IF((N21&lt;&gt;""),"[br]"&amp;IF(Q21="у","[strike]","")&amp;$A21&amp;". "&amp;N21&amp;" ("&amp;VLOOKUP(O21,База!$A$13:$B$17,2,0)&amp;" "&amp;P21&amp;" ур.)"&amp;IF(Q21="у","[/strike] (цена реорганизации: "&amp;P21*База!$I$2&amp;")","")&amp;IF(P21&lt;AZ21," (цена апгрейда: "&amp;(AZ21-P21)*База!$I$3&amp;")",""),"")&amp;AY22</f>
        <v>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1" s="247">
        <f t="shared" si="7"/>
        <v>1</v>
      </c>
      <c r="BA21" s="247">
        <f t="shared" si="8"/>
        <v>0</v>
      </c>
      <c r="BB21" s="135"/>
      <c r="BC21" s="135" t="str">
        <f>IF((R21&lt;&gt;""),"[br]"&amp;IF(U21="у","[strike]","")&amp;$A21&amp;". "&amp;R21&amp;" ("&amp;VLOOKUP(S21,База!$A$13:$B$17,2,0)&amp;" "&amp;T21&amp;" ур.)"&amp;IF(U21="у","[/strike] (цена реорганизации: "&amp;T21*База!$I$2&amp;")","")&amp;IF(T21&lt;BD21," (цена апгрейда: "&amp;(BD21-T21)*База!$I$3&amp;")",""),"")&amp;BC22</f>
        <v>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1" s="135">
        <f t="shared" si="9"/>
        <v>4</v>
      </c>
      <c r="BE21" s="135">
        <f t="shared" si="10"/>
        <v>0</v>
      </c>
      <c r="BF21" s="135"/>
      <c r="BG21" s="135" t="str">
        <f>IF((V21&lt;&gt;""),"[br]"&amp;IF(Y21="у","[strike]","")&amp;$A21&amp;". "&amp;V21&amp;" ("&amp;VLOOKUP(W21,База!$A$13:$B$17,2,0)&amp;" "&amp;X21&amp;" ур.)"&amp;IF(Y21="у","[/strike] (цена реорганизации: "&amp;X21*База!$I$2&amp;")","")&amp;IF(X21&lt;BH21," (цена апгрейда: "&amp;(BH21-X21)*База!$I$3&amp;")",""),"")&amp;BG22</f>
        <v>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1" s="135">
        <f t="shared" si="11"/>
        <v>2</v>
      </c>
      <c r="BI21" s="135">
        <f t="shared" si="12"/>
        <v>0</v>
      </c>
      <c r="BJ21" s="135"/>
      <c r="BK21" s="135" t="str">
        <f>IF((Z21&lt;&gt;""),"[br]"&amp;IF(AC21="у","[strike]","")&amp;$A21&amp;". "&amp;Z21&amp;" ("&amp;VLOOKUP(AA21,База!$A$13:$B$17,2,0)&amp;" "&amp;AB21&amp;" ур.)"&amp;IF(AC21="у","[/strike] (цена реорганизации: "&amp;AB21*База!$I$2&amp;")","")&amp;IF(AB21&lt;BL21," (цена апгрейда: "&amp;(BL21-AB21)*База!$I$3&amp;")",""),"")&amp;BK22</f>
        <v/>
      </c>
      <c r="BL21" s="135">
        <f t="shared" si="13"/>
        <v>0</v>
      </c>
      <c r="BM21" s="135">
        <f t="shared" si="14"/>
        <v>0</v>
      </c>
      <c r="BN21" s="135"/>
      <c r="BO21" s="135" t="str">
        <f>IF((AD21&lt;&gt;""),"[br]"&amp;IF(AG21="у","[strike]","")&amp;$A21&amp;". "&amp;AD21&amp;" ("&amp;VLOOKUP(AE21,База!$A$13:$B$17,2,0)&amp;" "&amp;AF21&amp;" ур.)"&amp;IF(AG21="у","[/strike] (цена реорганизации: "&amp;AF21*База!$I$2&amp;")","")&amp;IF(AF21&lt;BP21," (цена апгрейда: "&amp;(BP21-AF21)*База!$I$3&amp;")",""),"")&amp;BO22</f>
        <v/>
      </c>
      <c r="BP21" s="135">
        <f t="shared" si="15"/>
        <v>0</v>
      </c>
      <c r="BQ21" s="135">
        <f t="shared" si="16"/>
        <v>0</v>
      </c>
    </row>
    <row r="22" spans="1:69" x14ac:dyDescent="0.25">
      <c r="A22">
        <v>19</v>
      </c>
      <c r="B22" s="63" t="s">
        <v>607</v>
      </c>
      <c r="C22" s="286" t="s">
        <v>158</v>
      </c>
      <c r="D22" s="286">
        <v>4</v>
      </c>
      <c r="E22" s="267"/>
      <c r="F22" s="48"/>
      <c r="G22" s="50"/>
      <c r="H22" s="50"/>
      <c r="I22" s="50"/>
      <c r="J22" s="66"/>
      <c r="K22" s="252"/>
      <c r="L22" s="252"/>
      <c r="M22" s="252"/>
      <c r="N22" s="58" t="s">
        <v>448</v>
      </c>
      <c r="O22" s="268" t="s">
        <v>157</v>
      </c>
      <c r="P22" s="268">
        <v>2</v>
      </c>
      <c r="Q22" s="268" t="s">
        <v>155</v>
      </c>
      <c r="R22" s="72" t="s">
        <v>564</v>
      </c>
      <c r="S22" s="289" t="s">
        <v>158</v>
      </c>
      <c r="T22" s="289">
        <v>4</v>
      </c>
      <c r="U22" s="289" t="s">
        <v>622</v>
      </c>
      <c r="V22" s="69" t="s">
        <v>483</v>
      </c>
      <c r="W22" s="288" t="s">
        <v>154</v>
      </c>
      <c r="X22" s="288">
        <v>3</v>
      </c>
      <c r="Y22" s="288" t="s">
        <v>155</v>
      </c>
      <c r="Z22" s="26"/>
      <c r="AA22" s="266"/>
      <c r="AB22" s="266"/>
      <c r="AC22" s="266"/>
      <c r="AD22" s="53"/>
      <c r="AE22" s="55"/>
      <c r="AF22" s="55"/>
      <c r="AG22" s="55"/>
      <c r="AI22" s="72"/>
      <c r="AJ22" s="289"/>
      <c r="AK22" s="289"/>
      <c r="AL22" s="289"/>
      <c r="AM22" s="135" t="str">
        <f>IF((B22&lt;&gt;""),"[br]"&amp;IF(E22="у","[strike]","")&amp;$A22&amp;". "&amp;B22&amp;" ("&amp;VLOOKUP(C22,База!$A$13:$B$17,2,0)&amp;" "&amp;D22&amp;" ур.)"&amp;IF(E22="у","[/strike] (цена реорганизации: "&amp;D22*База!$I$2&amp;")","")&amp;IF(D22&lt;AN22," (цена апгрейда: "&amp;(AN22-D22)*База!$I$3&amp;")",""),"")&amp;AM23</f>
        <v>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22" s="135">
        <f t="shared" si="1"/>
        <v>4</v>
      </c>
      <c r="AO22" s="135">
        <f t="shared" si="2"/>
        <v>0</v>
      </c>
      <c r="AP22" s="135"/>
      <c r="AQ22" s="135" t="str">
        <f>IF((F22&lt;&gt;""),"[br]"&amp;IF(I22="у","[strike]","")&amp;$A22&amp;". "&amp;F22&amp;" ("&amp;VLOOKUP(G22,База!$A$13:$B$17,2,0)&amp;" "&amp;H22&amp;" ур.)"&amp;IF(I22="у","[/strike] (цена реорганизации: "&amp;H22*База!$I$2&amp;")","")&amp;IF(H22&lt;AR22," (цена апгрейда: "&amp;(AR22-H22)*База!$I$3&amp;")",""),"")&amp;AQ23</f>
        <v/>
      </c>
      <c r="AR22" s="135">
        <f t="shared" si="3"/>
        <v>0</v>
      </c>
      <c r="AS22" s="135">
        <f t="shared" si="4"/>
        <v>0</v>
      </c>
      <c r="AT22" s="135"/>
      <c r="AU22" s="135" t="str">
        <f>IF((J22&lt;&gt;""),"[br]"&amp;IF(M22="у","[strike]","")&amp;$A22&amp;". "&amp;J22&amp;" ("&amp;VLOOKUP(K22,База!$A$13:$B$17,2,0)&amp;" "&amp;L22&amp;" ур.)"&amp;IF(M22="у","[/strike] (цена реорганизации: "&amp;L22*База!$I$2&amp;")","")&amp;IF(L22&lt;AV22," (цена апгрейда: "&amp;(AV22-L22)*База!$I$3&amp;")",""),"")&amp;AU23</f>
        <v/>
      </c>
      <c r="AV22" s="135">
        <f t="shared" si="5"/>
        <v>0</v>
      </c>
      <c r="AW22" s="135">
        <f t="shared" si="6"/>
        <v>0</v>
      </c>
      <c r="AX22" s="135"/>
      <c r="AY22" s="247" t="str">
        <f>IF((N22&lt;&gt;""),"[br]"&amp;IF(Q22="у","[strike]","")&amp;$A22&amp;". "&amp;N22&amp;" ("&amp;VLOOKUP(O22,База!$A$13:$B$17,2,0)&amp;" "&amp;P22&amp;" ур.)"&amp;IF(Q22="у","[/strike] (цена реорганизации: "&amp;P22*База!$I$2&amp;")","")&amp;IF(P22&lt;AZ22," (цена апгрейда: "&amp;(AZ22-P22)*База!$I$3&amp;")",""),"")&amp;AY23</f>
        <v>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2" s="247">
        <f t="shared" si="7"/>
        <v>2</v>
      </c>
      <c r="BA22" s="247">
        <f t="shared" si="8"/>
        <v>0</v>
      </c>
      <c r="BB22" s="135"/>
      <c r="BC22" s="135" t="str">
        <f>IF((R22&lt;&gt;""),"[br]"&amp;IF(U22="у","[strike]","")&amp;$A22&amp;". "&amp;R22&amp;" ("&amp;VLOOKUP(S22,База!$A$13:$B$17,2,0)&amp;" "&amp;T22&amp;" ур.)"&amp;IF(U22="у","[/strike] (цена реорганизации: "&amp;T22*База!$I$2&amp;")","")&amp;IF(T22&lt;BD22," (цена апгрейда: "&amp;(BD22-T22)*База!$I$3&amp;")",""),"")&amp;BC23</f>
        <v>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2" s="135">
        <f t="shared" si="9"/>
        <v>4</v>
      </c>
      <c r="BE22" s="135">
        <f t="shared" si="10"/>
        <v>0</v>
      </c>
      <c r="BF22" s="135"/>
      <c r="BG22" s="135" t="str">
        <f>IF((V22&lt;&gt;""),"[br]"&amp;IF(Y22="у","[strike]","")&amp;$A22&amp;". "&amp;V22&amp;" ("&amp;VLOOKUP(W22,База!$A$13:$B$17,2,0)&amp;" "&amp;X22&amp;" ур.)"&amp;IF(Y22="у","[/strike] (цена реорганизации: "&amp;X22*База!$I$2&amp;")","")&amp;IF(X22&lt;BH22," (цена апгрейда: "&amp;(BH22-X22)*База!$I$3&amp;")",""),"")&amp;BG23</f>
        <v>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2" s="135">
        <f t="shared" si="11"/>
        <v>4</v>
      </c>
      <c r="BI22" s="135">
        <f t="shared" si="12"/>
        <v>1</v>
      </c>
      <c r="BJ22" s="135"/>
      <c r="BK22" s="135" t="str">
        <f>IF((Z22&lt;&gt;""),"[br]"&amp;IF(AC22="у","[strike]","")&amp;$A22&amp;". "&amp;Z22&amp;" ("&amp;VLOOKUP(AA22,База!$A$13:$B$17,2,0)&amp;" "&amp;AB22&amp;" ур.)"&amp;IF(AC22="у","[/strike] (цена реорганизации: "&amp;AB22*База!$I$2&amp;")","")&amp;IF(AB22&lt;BL22," (цена апгрейда: "&amp;(BL22-AB22)*База!$I$3&amp;")",""),"")&amp;BK23</f>
        <v/>
      </c>
      <c r="BL22" s="135">
        <f t="shared" si="13"/>
        <v>0</v>
      </c>
      <c r="BM22" s="135">
        <f t="shared" si="14"/>
        <v>0</v>
      </c>
      <c r="BN22" s="135"/>
      <c r="BO22" s="135" t="str">
        <f>IF((AD22&lt;&gt;""),"[br]"&amp;IF(AG22="у","[strike]","")&amp;$A22&amp;". "&amp;AD22&amp;" ("&amp;VLOOKUP(AE22,База!$A$13:$B$17,2,0)&amp;" "&amp;AF22&amp;" ур.)"&amp;IF(AG22="у","[/strike] (цена реорганизации: "&amp;AF22*База!$I$2&amp;")","")&amp;IF(AF22&lt;BP22," (цена апгрейда: "&amp;(BP22-AF22)*База!$I$3&amp;")",""),"")&amp;BO23</f>
        <v/>
      </c>
      <c r="BP22" s="135">
        <f t="shared" si="15"/>
        <v>0</v>
      </c>
      <c r="BQ22" s="135">
        <f t="shared" si="16"/>
        <v>0</v>
      </c>
    </row>
    <row r="23" spans="1:69" x14ac:dyDescent="0.25">
      <c r="A23">
        <v>20</v>
      </c>
      <c r="B23" s="63" t="s">
        <v>608</v>
      </c>
      <c r="C23" s="286" t="s">
        <v>154</v>
      </c>
      <c r="D23" s="286">
        <v>4</v>
      </c>
      <c r="E23" s="267"/>
      <c r="F23" s="48"/>
      <c r="G23" s="50"/>
      <c r="H23" s="50"/>
      <c r="I23" s="50"/>
      <c r="J23" s="66"/>
      <c r="K23" s="252"/>
      <c r="L23" s="252"/>
      <c r="M23" s="252"/>
      <c r="N23" s="58" t="s">
        <v>345</v>
      </c>
      <c r="O23" s="268" t="s">
        <v>156</v>
      </c>
      <c r="P23" s="268">
        <v>1</v>
      </c>
      <c r="Q23" s="268" t="s">
        <v>155</v>
      </c>
      <c r="R23" s="72" t="s">
        <v>574</v>
      </c>
      <c r="S23" s="289" t="s">
        <v>154</v>
      </c>
      <c r="T23" s="289">
        <v>4</v>
      </c>
      <c r="U23" s="289" t="s">
        <v>622</v>
      </c>
      <c r="V23" s="69" t="s">
        <v>132</v>
      </c>
      <c r="W23" s="288" t="s">
        <v>153</v>
      </c>
      <c r="X23" s="288">
        <v>1</v>
      </c>
      <c r="Y23" s="288" t="s">
        <v>155</v>
      </c>
      <c r="Z23" s="26"/>
      <c r="AA23" s="266"/>
      <c r="AB23" s="266"/>
      <c r="AC23" s="266"/>
      <c r="AD23" s="53"/>
      <c r="AE23" s="55"/>
      <c r="AF23" s="55"/>
      <c r="AG23" s="55"/>
      <c r="AI23" s="72"/>
      <c r="AJ23" s="289"/>
      <c r="AK23" s="289"/>
      <c r="AL23" s="289"/>
      <c r="AM23" s="135" t="str">
        <f>IF((B23&lt;&gt;""),"[br]"&amp;IF(E23="у","[strike]","")&amp;$A23&amp;". "&amp;B23&amp;" ("&amp;VLOOKUP(C23,База!$A$13:$B$17,2,0)&amp;" "&amp;D23&amp;" ур.)"&amp;IF(E23="у","[/strike] (цена реорганизации: "&amp;D23*База!$I$2&amp;")","")&amp;IF(D23&lt;AN23," (цена апгрейда: "&amp;(AN23-D23)*База!$I$3&amp;")",""),"")&amp;AM24</f>
        <v>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23" s="135">
        <f t="shared" si="1"/>
        <v>4</v>
      </c>
      <c r="AO23" s="135">
        <f t="shared" si="2"/>
        <v>0</v>
      </c>
      <c r="AP23" s="135"/>
      <c r="AQ23" s="135" t="str">
        <f>IF((F23&lt;&gt;""),"[br]"&amp;IF(I23="у","[strike]","")&amp;$A23&amp;". "&amp;F23&amp;" ("&amp;VLOOKUP(G23,База!$A$13:$B$17,2,0)&amp;" "&amp;H23&amp;" ур.)"&amp;IF(I23="у","[/strike] (цена реорганизации: "&amp;H23*База!$I$2&amp;")","")&amp;IF(H23&lt;AR23," (цена апгрейда: "&amp;(AR23-H23)*База!$I$3&amp;")",""),"")&amp;AQ24</f>
        <v/>
      </c>
      <c r="AR23" s="135">
        <f t="shared" si="3"/>
        <v>0</v>
      </c>
      <c r="AS23" s="135">
        <f t="shared" si="4"/>
        <v>0</v>
      </c>
      <c r="AT23" s="135"/>
      <c r="AU23" s="135" t="str">
        <f>IF((J23&lt;&gt;""),"[br]"&amp;IF(M23="у","[strike]","")&amp;$A23&amp;". "&amp;J23&amp;" ("&amp;VLOOKUP(K23,База!$A$13:$B$17,2,0)&amp;" "&amp;L23&amp;" ур.)"&amp;IF(M23="у","[/strike] (цена реорганизации: "&amp;L23*База!$I$2&amp;")","")&amp;IF(L23&lt;AV23," (цена апгрейда: "&amp;(AV23-L23)*База!$I$3&amp;")",""),"")&amp;AU24</f>
        <v/>
      </c>
      <c r="AV23" s="135">
        <f t="shared" si="5"/>
        <v>0</v>
      </c>
      <c r="AW23" s="135">
        <f t="shared" si="6"/>
        <v>0</v>
      </c>
      <c r="AX23" s="135"/>
      <c r="AY23" s="247" t="str">
        <f>IF((N23&lt;&gt;""),"[br]"&amp;IF(Q23="у","[strike]","")&amp;$A23&amp;". "&amp;N23&amp;" ("&amp;VLOOKUP(O23,База!$A$13:$B$17,2,0)&amp;" "&amp;P23&amp;" ур.)"&amp;IF(Q23="у","[/strike] (цена реорганизации: "&amp;P23*База!$I$2&amp;")","")&amp;IF(P23&lt;AZ23," (цена апгрейда: "&amp;(AZ23-P23)*База!$I$3&amp;")",""),"")&amp;AY24</f>
        <v>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3" s="247">
        <f t="shared" si="7"/>
        <v>1</v>
      </c>
      <c r="BA23" s="247">
        <f t="shared" si="8"/>
        <v>0</v>
      </c>
      <c r="BB23" s="135"/>
      <c r="BC23" s="135" t="str">
        <f>IF((R23&lt;&gt;""),"[br]"&amp;IF(U23="у","[strike]","")&amp;$A23&amp;". "&amp;R23&amp;" ("&amp;VLOOKUP(S23,База!$A$13:$B$17,2,0)&amp;" "&amp;T23&amp;" ур.)"&amp;IF(U23="у","[/strike] (цена реорганизации: "&amp;T23*База!$I$2&amp;")","")&amp;IF(T23&lt;BD23," (цена апгрейда: "&amp;(BD23-T23)*База!$I$3&amp;")",""),"")&amp;BC24</f>
        <v>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3" s="135">
        <f t="shared" si="9"/>
        <v>4</v>
      </c>
      <c r="BE23" s="135">
        <f t="shared" si="10"/>
        <v>0</v>
      </c>
      <c r="BF23" s="135"/>
      <c r="BG23" s="135" t="str">
        <f>IF((V23&lt;&gt;""),"[br]"&amp;IF(Y23="у","[strike]","")&amp;$A23&amp;". "&amp;V23&amp;" ("&amp;VLOOKUP(W23,База!$A$13:$B$17,2,0)&amp;" "&amp;X23&amp;" ур.)"&amp;IF(Y23="у","[/strike] (цена реорганизации: "&amp;X23*База!$I$2&amp;")","")&amp;IF(X23&lt;BH23," (цена апгрейда: "&amp;(BH23-X23)*База!$I$3&amp;")",""),"")&amp;BG24</f>
        <v>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3" s="135">
        <f t="shared" si="11"/>
        <v>1</v>
      </c>
      <c r="BI23" s="135">
        <f t="shared" si="12"/>
        <v>0</v>
      </c>
      <c r="BJ23" s="135"/>
      <c r="BK23" s="135" t="str">
        <f>IF((Z23&lt;&gt;""),"[br]"&amp;IF(AC23="у","[strike]","")&amp;$A23&amp;". "&amp;Z23&amp;" ("&amp;VLOOKUP(AA23,База!$A$13:$B$17,2,0)&amp;" "&amp;AB23&amp;" ур.)"&amp;IF(AC23="у","[/strike] (цена реорганизации: "&amp;AB23*База!$I$2&amp;")","")&amp;IF(AB23&lt;BL23," (цена апгрейда: "&amp;(BL23-AB23)*База!$I$3&amp;")",""),"")&amp;BK24</f>
        <v/>
      </c>
      <c r="BL23" s="135">
        <f t="shared" si="13"/>
        <v>0</v>
      </c>
      <c r="BM23" s="135">
        <f t="shared" si="14"/>
        <v>0</v>
      </c>
      <c r="BN23" s="135"/>
      <c r="BO23" s="135" t="str">
        <f>IF((AD23&lt;&gt;""),"[br]"&amp;IF(AG23="у","[strike]","")&amp;$A23&amp;". "&amp;AD23&amp;" ("&amp;VLOOKUP(AE23,База!$A$13:$B$17,2,0)&amp;" "&amp;AF23&amp;" ур.)"&amp;IF(AG23="у","[/strike] (цена реорганизации: "&amp;AF23*База!$I$2&amp;")","")&amp;IF(AF23&lt;BP23," (цена апгрейда: "&amp;(BP23-AF23)*База!$I$3&amp;")",""),"")&amp;BO24</f>
        <v/>
      </c>
      <c r="BP23" s="135">
        <f t="shared" si="15"/>
        <v>0</v>
      </c>
      <c r="BQ23" s="135">
        <f t="shared" si="16"/>
        <v>0</v>
      </c>
    </row>
    <row r="24" spans="1:69" x14ac:dyDescent="0.25">
      <c r="A24">
        <v>21</v>
      </c>
      <c r="B24" s="63" t="s">
        <v>609</v>
      </c>
      <c r="C24" s="267" t="s">
        <v>156</v>
      </c>
      <c r="D24" s="267">
        <v>4</v>
      </c>
      <c r="E24" s="267"/>
      <c r="F24" s="48"/>
      <c r="G24" s="50"/>
      <c r="H24" s="50"/>
      <c r="I24" s="50"/>
      <c r="J24" s="66"/>
      <c r="K24" s="252"/>
      <c r="L24" s="252"/>
      <c r="M24" s="252"/>
      <c r="N24" s="58" t="s">
        <v>346</v>
      </c>
      <c r="O24" s="268" t="s">
        <v>156</v>
      </c>
      <c r="P24" s="268">
        <v>1</v>
      </c>
      <c r="Q24" s="268" t="s">
        <v>155</v>
      </c>
      <c r="R24" s="72" t="s">
        <v>595</v>
      </c>
      <c r="S24" s="289" t="s">
        <v>154</v>
      </c>
      <c r="T24" s="289">
        <v>4</v>
      </c>
      <c r="U24" s="289" t="s">
        <v>622</v>
      </c>
      <c r="V24" s="69" t="s">
        <v>344</v>
      </c>
      <c r="W24" s="288" t="s">
        <v>156</v>
      </c>
      <c r="X24" s="288">
        <v>2</v>
      </c>
      <c r="Y24" s="288" t="s">
        <v>155</v>
      </c>
      <c r="Z24" s="26"/>
      <c r="AA24" s="266"/>
      <c r="AB24" s="266"/>
      <c r="AC24" s="266"/>
      <c r="AD24" s="53"/>
      <c r="AE24" s="55"/>
      <c r="AF24" s="55"/>
      <c r="AG24" s="55"/>
      <c r="AI24" s="72"/>
      <c r="AJ24" s="289"/>
      <c r="AK24" s="289"/>
      <c r="AL24" s="289"/>
      <c r="AM24" s="135" t="str">
        <f>IF((B24&lt;&gt;""),"[br]"&amp;IF(E24="у","[strike]","")&amp;$A24&amp;". "&amp;B24&amp;" ("&amp;VLOOKUP(C24,База!$A$13:$B$17,2,0)&amp;" "&amp;D24&amp;" ур.)"&amp;IF(E24="у","[/strike] (цена реорганизации: "&amp;D24*База!$I$2&amp;")","")&amp;IF(D24&lt;AN24," (цена апгрейда: "&amp;(AN24-D24)*База!$I$3&amp;")",""),"")&amp;AM25</f>
        <v>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24" s="135">
        <f t="shared" si="1"/>
        <v>4</v>
      </c>
      <c r="AO24" s="135">
        <f t="shared" si="2"/>
        <v>0</v>
      </c>
      <c r="AP24" s="135"/>
      <c r="AQ24" s="135" t="str">
        <f>IF((F24&lt;&gt;""),"[br]"&amp;IF(I24="у","[strike]","")&amp;$A24&amp;". "&amp;F24&amp;" ("&amp;VLOOKUP(G24,База!$A$13:$B$17,2,0)&amp;" "&amp;H24&amp;" ур.)"&amp;IF(I24="у","[/strike] (цена реорганизации: "&amp;H24*База!$I$2&amp;")","")&amp;IF(H24&lt;AR24," (цена апгрейда: "&amp;(AR24-H24)*База!$I$3&amp;")",""),"")&amp;AQ25</f>
        <v/>
      </c>
      <c r="AR24" s="135">
        <f t="shared" si="3"/>
        <v>0</v>
      </c>
      <c r="AS24" s="135">
        <f t="shared" si="4"/>
        <v>0</v>
      </c>
      <c r="AT24" s="135"/>
      <c r="AU24" s="135" t="str">
        <f>IF((J24&lt;&gt;""),"[br]"&amp;IF(M24="у","[strike]","")&amp;$A24&amp;". "&amp;J24&amp;" ("&amp;VLOOKUP(K24,База!$A$13:$B$17,2,0)&amp;" "&amp;L24&amp;" ур.)"&amp;IF(M24="у","[/strike] (цена реорганизации: "&amp;L24*База!$I$2&amp;")","")&amp;IF(L24&lt;AV24," (цена апгрейда: "&amp;(AV24-L24)*База!$I$3&amp;")",""),"")&amp;AU25</f>
        <v/>
      </c>
      <c r="AV24" s="135">
        <f t="shared" si="5"/>
        <v>0</v>
      </c>
      <c r="AW24" s="135">
        <f t="shared" si="6"/>
        <v>0</v>
      </c>
      <c r="AX24" s="135"/>
      <c r="AY24" s="247" t="str">
        <f>IF((N24&lt;&gt;""),"[br]"&amp;IF(Q24="у","[strike]","")&amp;$A24&amp;". "&amp;N24&amp;" ("&amp;VLOOKUP(O24,База!$A$13:$B$17,2,0)&amp;" "&amp;P24&amp;" ур.)"&amp;IF(Q24="у","[/strike] (цена реорганизации: "&amp;P24*База!$I$2&amp;")","")&amp;IF(P24&lt;AZ24," (цена апгрейда: "&amp;(AZ24-P24)*База!$I$3&amp;")",""),"")&amp;AY25</f>
        <v>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4" s="247">
        <f t="shared" si="7"/>
        <v>1</v>
      </c>
      <c r="BA24" s="247">
        <f t="shared" si="8"/>
        <v>0</v>
      </c>
      <c r="BB24" s="135"/>
      <c r="BC24" s="135" t="str">
        <f>IF((R24&lt;&gt;""),"[br]"&amp;IF(U24="у","[strike]","")&amp;$A24&amp;". "&amp;R24&amp;" ("&amp;VLOOKUP(S24,База!$A$13:$B$17,2,0)&amp;" "&amp;T24&amp;" ур.)"&amp;IF(U24="у","[/strike] (цена реорганизации: "&amp;T24*База!$I$2&amp;")","")&amp;IF(T24&lt;BD24," (цена апгрейда: "&amp;(BD24-T24)*База!$I$3&amp;")",""),"")&amp;BC25</f>
        <v>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4" s="135">
        <f t="shared" si="9"/>
        <v>4</v>
      </c>
      <c r="BE24" s="135">
        <f t="shared" si="10"/>
        <v>0</v>
      </c>
      <c r="BF24" s="135"/>
      <c r="BG24" s="135" t="str">
        <f>IF((V24&lt;&gt;""),"[br]"&amp;IF(Y24="у","[strike]","")&amp;$A24&amp;". "&amp;V24&amp;" ("&amp;VLOOKUP(W24,База!$A$13:$B$17,2,0)&amp;" "&amp;X24&amp;" ур.)"&amp;IF(Y24="у","[/strike] (цена реорганизации: "&amp;X24*База!$I$2&amp;")","")&amp;IF(X24&lt;BH24," (цена апгрейда: "&amp;(BH24-X24)*База!$I$3&amp;")",""),"")&amp;BG25</f>
        <v>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4" s="135">
        <f t="shared" si="11"/>
        <v>2</v>
      </c>
      <c r="BI24" s="135">
        <f t="shared" si="12"/>
        <v>0</v>
      </c>
      <c r="BJ24" s="135"/>
      <c r="BK24" s="135" t="str">
        <f>IF((Z24&lt;&gt;""),"[br]"&amp;IF(AC24="у","[strike]","")&amp;$A24&amp;". "&amp;Z24&amp;" ("&amp;VLOOKUP(AA24,База!$A$13:$B$17,2,0)&amp;" "&amp;AB24&amp;" ур.)"&amp;IF(AC24="у","[/strike] (цена реорганизации: "&amp;AB24*База!$I$2&amp;")","")&amp;IF(AB24&lt;BL24," (цена апгрейда: "&amp;(BL24-AB24)*База!$I$3&amp;")",""),"")&amp;BK25</f>
        <v/>
      </c>
      <c r="BL24" s="135">
        <f t="shared" si="13"/>
        <v>0</v>
      </c>
      <c r="BM24" s="135">
        <f t="shared" si="14"/>
        <v>0</v>
      </c>
      <c r="BN24" s="135"/>
      <c r="BO24" s="135" t="str">
        <f>IF((AD24&lt;&gt;""),"[br]"&amp;IF(AG24="у","[strike]","")&amp;$A24&amp;". "&amp;AD24&amp;" ("&amp;VLOOKUP(AE24,База!$A$13:$B$17,2,0)&amp;" "&amp;AF24&amp;" ур.)"&amp;IF(AG24="у","[/strike] (цена реорганизации: "&amp;AF24*База!$I$2&amp;")","")&amp;IF(AF24&lt;BP24," (цена апгрейда: "&amp;(BP24-AF24)*База!$I$3&amp;")",""),"")&amp;BO25</f>
        <v/>
      </c>
      <c r="BP24" s="135">
        <f t="shared" si="15"/>
        <v>0</v>
      </c>
      <c r="BQ24" s="135">
        <f t="shared" si="16"/>
        <v>0</v>
      </c>
    </row>
    <row r="25" spans="1:69" x14ac:dyDescent="0.25">
      <c r="A25">
        <v>22</v>
      </c>
      <c r="B25" s="63" t="s">
        <v>610</v>
      </c>
      <c r="C25" s="286" t="s">
        <v>158</v>
      </c>
      <c r="D25" s="286">
        <v>4</v>
      </c>
      <c r="E25" s="267" t="s">
        <v>623</v>
      </c>
      <c r="F25" s="48"/>
      <c r="G25" s="50"/>
      <c r="H25" s="50"/>
      <c r="I25" s="50"/>
      <c r="J25" s="66"/>
      <c r="K25" s="252"/>
      <c r="L25" s="252"/>
      <c r="M25" s="252"/>
      <c r="N25" s="58" t="s">
        <v>358</v>
      </c>
      <c r="O25" s="268" t="s">
        <v>156</v>
      </c>
      <c r="P25" s="268">
        <v>1</v>
      </c>
      <c r="Q25" s="268" t="s">
        <v>155</v>
      </c>
      <c r="R25" s="72" t="s">
        <v>567</v>
      </c>
      <c r="S25" s="289" t="s">
        <v>154</v>
      </c>
      <c r="T25" s="289">
        <v>4</v>
      </c>
      <c r="U25" s="289" t="s">
        <v>155</v>
      </c>
      <c r="V25" s="69" t="s">
        <v>132</v>
      </c>
      <c r="W25" s="288" t="s">
        <v>153</v>
      </c>
      <c r="X25" s="288">
        <v>1</v>
      </c>
      <c r="Y25" s="288" t="s">
        <v>155</v>
      </c>
      <c r="Z25" s="26"/>
      <c r="AA25" s="266"/>
      <c r="AB25" s="266"/>
      <c r="AC25" s="266"/>
      <c r="AD25" s="53"/>
      <c r="AE25" s="55"/>
      <c r="AF25" s="55"/>
      <c r="AG25" s="55"/>
      <c r="AI25" s="72"/>
      <c r="AJ25" s="289"/>
      <c r="AK25" s="289"/>
      <c r="AL25" s="289"/>
      <c r="AM25" s="135" t="str">
        <f>IF((B25&lt;&gt;""),"[br]"&amp;IF(E25="у","[strike]","")&amp;$A25&amp;". "&amp;B25&amp;" ("&amp;VLOOKUP(C25,База!$A$13:$B$17,2,0)&amp;" "&amp;D25&amp;" ур.)"&amp;IF(E25="у","[/strike] (цена реорганизации: "&amp;D25*База!$I$2&amp;")","")&amp;IF(D25&lt;AN25," (цена апгрейда: "&amp;(AN25-D25)*База!$I$3&amp;")",""),"")&amp;AM26</f>
        <v>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25" s="135">
        <f t="shared" si="1"/>
        <v>4</v>
      </c>
      <c r="AO25" s="135">
        <f t="shared" si="2"/>
        <v>0</v>
      </c>
      <c r="AP25" s="135"/>
      <c r="AQ25" s="135" t="str">
        <f>IF((F25&lt;&gt;""),"[br]"&amp;IF(I25="у","[strike]","")&amp;$A25&amp;". "&amp;F25&amp;" ("&amp;VLOOKUP(G25,База!$A$13:$B$17,2,0)&amp;" "&amp;H25&amp;" ур.)"&amp;IF(I25="у","[/strike] (цена реорганизации: "&amp;H25*База!$I$2&amp;")","")&amp;IF(H25&lt;AR25," (цена апгрейда: "&amp;(AR25-H25)*База!$I$3&amp;")",""),"")&amp;AQ26</f>
        <v/>
      </c>
      <c r="AR25" s="135">
        <f t="shared" si="3"/>
        <v>0</v>
      </c>
      <c r="AS25" s="135">
        <f t="shared" si="4"/>
        <v>0</v>
      </c>
      <c r="AT25" s="135"/>
      <c r="AU25" s="135" t="str">
        <f>IF((J25&lt;&gt;""),"[br]"&amp;IF(M25="у","[strike]","")&amp;$A25&amp;". "&amp;J25&amp;" ("&amp;VLOOKUP(K25,База!$A$13:$B$17,2,0)&amp;" "&amp;L25&amp;" ур.)"&amp;IF(M25="у","[/strike] (цена реорганизации: "&amp;L25*База!$I$2&amp;")","")&amp;IF(L25&lt;AV25," (цена апгрейда: "&amp;(AV25-L25)*База!$I$3&amp;")",""),"")&amp;AU26</f>
        <v/>
      </c>
      <c r="AV25" s="135">
        <f t="shared" si="5"/>
        <v>0</v>
      </c>
      <c r="AW25" s="135">
        <f t="shared" si="6"/>
        <v>0</v>
      </c>
      <c r="AX25" s="135"/>
      <c r="AY25" s="247" t="str">
        <f>IF((N25&lt;&gt;""),"[br]"&amp;IF(Q25="у","[strike]","")&amp;$A25&amp;". "&amp;N25&amp;" ("&amp;VLOOKUP(O25,База!$A$13:$B$17,2,0)&amp;" "&amp;P25&amp;" ур.)"&amp;IF(Q25="у","[/strike] (цена реорганизации: "&amp;P25*База!$I$2&amp;")","")&amp;IF(P25&lt;AZ25," (цена апгрейда: "&amp;(AZ25-P25)*База!$I$3&amp;")",""),"")&amp;AY26</f>
        <v>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5" s="247">
        <f t="shared" si="7"/>
        <v>1</v>
      </c>
      <c r="BA25" s="247">
        <f t="shared" si="8"/>
        <v>0</v>
      </c>
      <c r="BB25" s="135"/>
      <c r="BC25" s="135" t="str">
        <f>IF((R25&lt;&gt;""),"[br]"&amp;IF(U25="у","[strike]","")&amp;$A25&amp;". "&amp;R25&amp;" ("&amp;VLOOKUP(S25,База!$A$13:$B$17,2,0)&amp;" "&amp;T25&amp;" ур.)"&amp;IF(U25="у","[/strike] (цена реорганизации: "&amp;T25*База!$I$2&amp;")","")&amp;IF(T25&lt;BD25," (цена апгрейда: "&amp;(BD25-T25)*База!$I$3&amp;")",""),"")&amp;BC26</f>
        <v>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5" s="135">
        <f t="shared" si="9"/>
        <v>4</v>
      </c>
      <c r="BE25" s="135">
        <f t="shared" si="10"/>
        <v>0</v>
      </c>
      <c r="BF25" s="135"/>
      <c r="BG25" s="135" t="str">
        <f>IF((V25&lt;&gt;""),"[br]"&amp;IF(Y25="у","[strike]","")&amp;$A25&amp;". "&amp;V25&amp;" ("&amp;VLOOKUP(W25,База!$A$13:$B$17,2,0)&amp;" "&amp;X25&amp;" ур.)"&amp;IF(Y25="у","[/strike] (цена реорганизации: "&amp;X25*База!$I$2&amp;")","")&amp;IF(X25&lt;BH25," (цена апгрейда: "&amp;(BH25-X25)*База!$I$3&amp;")",""),"")&amp;BG26</f>
        <v>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5" s="135">
        <f t="shared" si="11"/>
        <v>1</v>
      </c>
      <c r="BI25" s="135">
        <f t="shared" si="12"/>
        <v>0</v>
      </c>
      <c r="BJ25" s="135"/>
      <c r="BK25" s="135" t="str">
        <f>IF((Z25&lt;&gt;""),"[br]"&amp;IF(AC25="у","[strike]","")&amp;$A25&amp;". "&amp;Z25&amp;" ("&amp;VLOOKUP(AA25,База!$A$13:$B$17,2,0)&amp;" "&amp;AB25&amp;" ур.)"&amp;IF(AC25="у","[/strike] (цена реорганизации: "&amp;AB25*База!$I$2&amp;")","")&amp;IF(AB25&lt;BL25," (цена апгрейда: "&amp;(BL25-AB25)*База!$I$3&amp;")",""),"")&amp;BK26</f>
        <v/>
      </c>
      <c r="BL25" s="135">
        <f t="shared" si="13"/>
        <v>0</v>
      </c>
      <c r="BM25" s="135">
        <f t="shared" si="14"/>
        <v>0</v>
      </c>
      <c r="BN25" s="135"/>
      <c r="BO25" s="135" t="str">
        <f>IF((AD25&lt;&gt;""),"[br]"&amp;IF(AG25="у","[strike]","")&amp;$A25&amp;". "&amp;AD25&amp;" ("&amp;VLOOKUP(AE25,База!$A$13:$B$17,2,0)&amp;" "&amp;AF25&amp;" ур.)"&amp;IF(AG25="у","[/strike] (цена реорганизации: "&amp;AF25*База!$I$2&amp;")","")&amp;IF(AF25&lt;BP25," (цена апгрейда: "&amp;(BP25-AF25)*База!$I$3&amp;")",""),"")&amp;BO26</f>
        <v/>
      </c>
      <c r="BP25" s="135">
        <f t="shared" si="15"/>
        <v>0</v>
      </c>
      <c r="BQ25" s="135">
        <f t="shared" si="16"/>
        <v>0</v>
      </c>
    </row>
    <row r="26" spans="1:69" x14ac:dyDescent="0.25">
      <c r="A26">
        <v>23</v>
      </c>
      <c r="B26" s="63" t="s">
        <v>611</v>
      </c>
      <c r="C26" s="286" t="s">
        <v>154</v>
      </c>
      <c r="D26" s="286">
        <v>4</v>
      </c>
      <c r="E26" s="267"/>
      <c r="F26" s="48"/>
      <c r="G26" s="50"/>
      <c r="H26" s="50"/>
      <c r="I26" s="50"/>
      <c r="J26" s="66"/>
      <c r="K26" s="252"/>
      <c r="L26" s="252"/>
      <c r="M26" s="252"/>
      <c r="N26" s="58" t="s">
        <v>350</v>
      </c>
      <c r="O26" s="268" t="s">
        <v>156</v>
      </c>
      <c r="P26" s="268">
        <v>1</v>
      </c>
      <c r="Q26" s="268" t="s">
        <v>155</v>
      </c>
      <c r="R26" s="72" t="s">
        <v>565</v>
      </c>
      <c r="S26" s="289" t="s">
        <v>158</v>
      </c>
      <c r="T26" s="289">
        <v>4</v>
      </c>
      <c r="U26" s="289" t="s">
        <v>155</v>
      </c>
      <c r="V26" s="69" t="s">
        <v>354</v>
      </c>
      <c r="W26" s="288" t="s">
        <v>158</v>
      </c>
      <c r="X26" s="288">
        <v>1</v>
      </c>
      <c r="Y26" s="288" t="s">
        <v>155</v>
      </c>
      <c r="Z26" s="26"/>
      <c r="AA26" s="266"/>
      <c r="AB26" s="266"/>
      <c r="AC26" s="266"/>
      <c r="AD26" s="53"/>
      <c r="AE26" s="55"/>
      <c r="AF26" s="55"/>
      <c r="AG26" s="55"/>
      <c r="AI26" s="72"/>
      <c r="AJ26" s="289"/>
      <c r="AK26" s="289"/>
      <c r="AL26" s="289"/>
      <c r="AM26" s="135" t="str">
        <f>IF((B26&lt;&gt;""),"[br]"&amp;IF(E26="у","[strike]","")&amp;$A26&amp;". "&amp;B26&amp;" ("&amp;VLOOKUP(C26,База!$A$13:$B$17,2,0)&amp;" "&amp;D26&amp;" ур.)"&amp;IF(E26="у","[/strike] (цена реорганизации: "&amp;D26*База!$I$2&amp;")","")&amp;IF(D26&lt;AN26," (цена апгрейда: "&amp;(AN26-D26)*База!$I$3&amp;")",""),"")&amp;AM27</f>
        <v>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26" s="135">
        <f t="shared" si="1"/>
        <v>4</v>
      </c>
      <c r="AO26" s="135">
        <f t="shared" si="2"/>
        <v>0</v>
      </c>
      <c r="AP26" s="135"/>
      <c r="AQ26" s="135" t="str">
        <f>IF((F26&lt;&gt;""),"[br]"&amp;IF(I26="у","[strike]","")&amp;$A26&amp;". "&amp;F26&amp;" ("&amp;VLOOKUP(G26,База!$A$13:$B$17,2,0)&amp;" "&amp;H26&amp;" ур.)"&amp;IF(I26="у","[/strike] (цена реорганизации: "&amp;H26*База!$I$2&amp;")","")&amp;IF(H26&lt;AR26," (цена апгрейда: "&amp;(AR26-H26)*База!$I$3&amp;")",""),"")&amp;AQ27</f>
        <v/>
      </c>
      <c r="AR26" s="135">
        <f t="shared" si="3"/>
        <v>0</v>
      </c>
      <c r="AS26" s="135">
        <f t="shared" si="4"/>
        <v>0</v>
      </c>
      <c r="AT26" s="135"/>
      <c r="AU26" s="135" t="str">
        <f>IF((J26&lt;&gt;""),"[br]"&amp;IF(M26="у","[strike]","")&amp;$A26&amp;". "&amp;J26&amp;" ("&amp;VLOOKUP(K26,База!$A$13:$B$17,2,0)&amp;" "&amp;L26&amp;" ур.)"&amp;IF(M26="у","[/strike] (цена реорганизации: "&amp;L26*База!$I$2&amp;")","")&amp;IF(L26&lt;AV26," (цена апгрейда: "&amp;(AV26-L26)*База!$I$3&amp;")",""),"")&amp;AU27</f>
        <v/>
      </c>
      <c r="AV26" s="135">
        <f t="shared" si="5"/>
        <v>0</v>
      </c>
      <c r="AW26" s="135">
        <f t="shared" si="6"/>
        <v>0</v>
      </c>
      <c r="AX26" s="135"/>
      <c r="AY26" s="247" t="str">
        <f>IF((N26&lt;&gt;""),"[br]"&amp;IF(Q26="у","[strike]","")&amp;$A26&amp;". "&amp;N26&amp;" ("&amp;VLOOKUP(O26,База!$A$13:$B$17,2,0)&amp;" "&amp;P26&amp;" ур.)"&amp;IF(Q26="у","[/strike] (цена реорганизации: "&amp;P26*База!$I$2&amp;")","")&amp;IF(P26&lt;AZ26," (цена апгрейда: "&amp;(AZ26-P26)*База!$I$3&amp;")",""),"")&amp;AY27</f>
        <v>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6" s="247">
        <f t="shared" si="7"/>
        <v>1</v>
      </c>
      <c r="BA26" s="247">
        <f t="shared" si="8"/>
        <v>0</v>
      </c>
      <c r="BB26" s="135"/>
      <c r="BC26" s="135" t="str">
        <f>IF((R26&lt;&gt;""),"[br]"&amp;IF(U26="у","[strike]","")&amp;$A26&amp;". "&amp;R26&amp;" ("&amp;VLOOKUP(S26,База!$A$13:$B$17,2,0)&amp;" "&amp;T26&amp;" ур.)"&amp;IF(U26="у","[/strike] (цена реорганизации: "&amp;T26*База!$I$2&amp;")","")&amp;IF(T26&lt;BD26," (цена апгрейда: "&amp;(BD26-T26)*База!$I$3&amp;")",""),"")&amp;BC27</f>
        <v>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6" s="135">
        <f t="shared" si="9"/>
        <v>4</v>
      </c>
      <c r="BE26" s="135">
        <f t="shared" si="10"/>
        <v>0</v>
      </c>
      <c r="BF26" s="135"/>
      <c r="BG26" s="135" t="str">
        <f>IF((V26&lt;&gt;""),"[br]"&amp;IF(Y26="у","[strike]","")&amp;$A26&amp;". "&amp;V26&amp;" ("&amp;VLOOKUP(W26,База!$A$13:$B$17,2,0)&amp;" "&amp;X26&amp;" ур.)"&amp;IF(Y26="у","[/strike] (цена реорганизации: "&amp;X26*База!$I$2&amp;")","")&amp;IF(X26&lt;BH26," (цена апгрейда: "&amp;(BH26-X26)*База!$I$3&amp;")",""),"")&amp;BG27</f>
        <v>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6" s="135">
        <f t="shared" si="11"/>
        <v>4</v>
      </c>
      <c r="BI26" s="135">
        <f t="shared" si="12"/>
        <v>1</v>
      </c>
      <c r="BJ26" s="135"/>
      <c r="BK26" s="135" t="str">
        <f>IF((Z26&lt;&gt;""),"[br]"&amp;IF(AC26="у","[strike]","")&amp;$A26&amp;". "&amp;Z26&amp;" ("&amp;VLOOKUP(AA26,База!$A$13:$B$17,2,0)&amp;" "&amp;AB26&amp;" ур.)"&amp;IF(AC26="у","[/strike] (цена реорганизации: "&amp;AB26*База!$I$2&amp;")","")&amp;IF(AB26&lt;BL26," (цена апгрейда: "&amp;(BL26-AB26)*База!$I$3&amp;")",""),"")&amp;BK27</f>
        <v/>
      </c>
      <c r="BL26" s="135">
        <f t="shared" si="13"/>
        <v>0</v>
      </c>
      <c r="BM26" s="135">
        <f t="shared" si="14"/>
        <v>0</v>
      </c>
      <c r="BN26" s="135"/>
      <c r="BO26" s="135" t="str">
        <f>IF((AD26&lt;&gt;""),"[br]"&amp;IF(AG26="у","[strike]","")&amp;$A26&amp;". "&amp;AD26&amp;" ("&amp;VLOOKUP(AE26,База!$A$13:$B$17,2,0)&amp;" "&amp;AF26&amp;" ур.)"&amp;IF(AG26="у","[/strike] (цена реорганизации: "&amp;AF26*База!$I$2&amp;")","")&amp;IF(AF26&lt;BP26," (цена апгрейда: "&amp;(BP26-AF26)*База!$I$3&amp;")",""),"")&amp;BO27</f>
        <v/>
      </c>
      <c r="BP26" s="135">
        <f t="shared" si="15"/>
        <v>0</v>
      </c>
      <c r="BQ26" s="135">
        <f t="shared" si="16"/>
        <v>0</v>
      </c>
    </row>
    <row r="27" spans="1:69" x14ac:dyDescent="0.25">
      <c r="A27">
        <v>24</v>
      </c>
      <c r="B27" s="63" t="s">
        <v>612</v>
      </c>
      <c r="C27" s="286" t="s">
        <v>158</v>
      </c>
      <c r="D27" s="286">
        <v>4</v>
      </c>
      <c r="E27" s="267"/>
      <c r="F27" s="48"/>
      <c r="G27" s="50"/>
      <c r="H27" s="50"/>
      <c r="I27" s="50"/>
      <c r="J27" s="66"/>
      <c r="K27" s="252"/>
      <c r="L27" s="252"/>
      <c r="M27" s="252"/>
      <c r="N27" s="58" t="s">
        <v>347</v>
      </c>
      <c r="O27" s="272" t="s">
        <v>153</v>
      </c>
      <c r="P27" s="272">
        <v>3</v>
      </c>
      <c r="Q27" s="261" t="s">
        <v>155</v>
      </c>
      <c r="R27" s="72" t="s">
        <v>576</v>
      </c>
      <c r="S27" s="289" t="s">
        <v>154</v>
      </c>
      <c r="T27" s="289">
        <v>4</v>
      </c>
      <c r="U27" s="289" t="s">
        <v>155</v>
      </c>
      <c r="V27" s="69" t="s">
        <v>467</v>
      </c>
      <c r="W27" s="288" t="s">
        <v>153</v>
      </c>
      <c r="X27" s="288">
        <v>2</v>
      </c>
      <c r="Y27" s="288" t="s">
        <v>155</v>
      </c>
      <c r="Z27" s="26"/>
      <c r="AA27" s="266"/>
      <c r="AB27" s="266"/>
      <c r="AC27" s="266"/>
      <c r="AD27" s="53"/>
      <c r="AE27" s="55"/>
      <c r="AF27" s="55"/>
      <c r="AG27" s="55"/>
      <c r="AI27" s="72"/>
      <c r="AJ27" s="289"/>
      <c r="AK27" s="289"/>
      <c r="AL27" s="289"/>
      <c r="AM27" s="135" t="str">
        <f>IF((B27&lt;&gt;""),"[br]"&amp;IF(E27="у","[strike]","")&amp;$A27&amp;". "&amp;B27&amp;" ("&amp;VLOOKUP(C27,База!$A$13:$B$17,2,0)&amp;" "&amp;D27&amp;" ур.)"&amp;IF(E27="у","[/strike] (цена реорганизации: "&amp;D27*База!$I$2&amp;")","")&amp;IF(D27&lt;AN27," (цена апгрейда: "&amp;(AN27-D27)*База!$I$3&amp;")",""),"")&amp;AM28</f>
        <v>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AN27" s="135">
        <f t="shared" si="1"/>
        <v>4</v>
      </c>
      <c r="AO27" s="135">
        <f t="shared" si="2"/>
        <v>0</v>
      </c>
      <c r="AP27" s="135"/>
      <c r="AQ27" s="135" t="str">
        <f>IF((F27&lt;&gt;""),"[br]"&amp;IF(I27="у","[strike]","")&amp;$A27&amp;". "&amp;F27&amp;" ("&amp;VLOOKUP(G27,База!$A$13:$B$17,2,0)&amp;" "&amp;H27&amp;" ур.)"&amp;IF(I27="у","[/strike] (цена реорганизации: "&amp;H27*База!$I$2&amp;")","")&amp;IF(H27&lt;AR27," (цена апгрейда: "&amp;(AR27-H27)*База!$I$3&amp;")",""),"")&amp;AQ28</f>
        <v/>
      </c>
      <c r="AR27" s="135">
        <f t="shared" si="3"/>
        <v>0</v>
      </c>
      <c r="AS27" s="135">
        <f t="shared" si="4"/>
        <v>0</v>
      </c>
      <c r="AT27" s="135"/>
      <c r="AU27" s="135" t="str">
        <f>IF((J27&lt;&gt;""),"[br]"&amp;IF(M27="у","[strike]","")&amp;$A27&amp;". "&amp;J27&amp;" ("&amp;VLOOKUP(K27,База!$A$13:$B$17,2,0)&amp;" "&amp;L27&amp;" ур.)"&amp;IF(M27="у","[/strike] (цена реорганизации: "&amp;L27*База!$I$2&amp;")","")&amp;IF(L27&lt;AV27," (цена апгрейда: "&amp;(AV27-L27)*База!$I$3&amp;")",""),"")&amp;AU28</f>
        <v/>
      </c>
      <c r="AV27" s="135">
        <f t="shared" si="5"/>
        <v>0</v>
      </c>
      <c r="AW27" s="135">
        <f t="shared" si="6"/>
        <v>0</v>
      </c>
      <c r="AX27" s="135"/>
      <c r="AY27" s="247" t="str">
        <f>IF((N27&lt;&gt;""),"[br]"&amp;IF(Q27="у","[strike]","")&amp;$A27&amp;". "&amp;N27&amp;" ("&amp;VLOOKUP(O27,База!$A$13:$B$17,2,0)&amp;" "&amp;P27&amp;" ур.)"&amp;IF(Q27="у","[/strike] (цена реорганизации: "&amp;P27*База!$I$2&amp;")","")&amp;IF(P27&lt;AZ27," (цена апгрейда: "&amp;(AZ27-P27)*База!$I$3&amp;")",""),"")&amp;AY28</f>
        <v>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7" s="247">
        <f t="shared" si="7"/>
        <v>3</v>
      </c>
      <c r="BA27" s="247">
        <f t="shared" si="8"/>
        <v>0</v>
      </c>
      <c r="BB27" s="135"/>
      <c r="BC27" s="135" t="str">
        <f>IF((R27&lt;&gt;""),"[br]"&amp;IF(U27="у","[strike]","")&amp;$A27&amp;". "&amp;R27&amp;" ("&amp;VLOOKUP(S27,База!$A$13:$B$17,2,0)&amp;" "&amp;T27&amp;" ур.)"&amp;IF(U27="у","[/strike] (цена реорганизации: "&amp;T27*База!$I$2&amp;")","")&amp;IF(T27&lt;BD27," (цена апгрейда: "&amp;(BD27-T27)*База!$I$3&amp;")",""),"")&amp;BC28</f>
        <v>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7" s="135">
        <f t="shared" si="9"/>
        <v>4</v>
      </c>
      <c r="BE27" s="135">
        <f t="shared" si="10"/>
        <v>0</v>
      </c>
      <c r="BF27" s="135"/>
      <c r="BG27" s="135" t="str">
        <f>IF((V27&lt;&gt;""),"[br]"&amp;IF(Y27="у","[strike]","")&amp;$A27&amp;". "&amp;V27&amp;" ("&amp;VLOOKUP(W27,База!$A$13:$B$17,2,0)&amp;" "&amp;X27&amp;" ур.)"&amp;IF(Y27="у","[/strike] (цена реорганизации: "&amp;X27*База!$I$2&amp;")","")&amp;IF(X27&lt;BH27," (цена апгрейда: "&amp;(BH27-X27)*База!$I$3&amp;")",""),"")&amp;BG28</f>
        <v>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7" s="135">
        <f t="shared" si="11"/>
        <v>1</v>
      </c>
      <c r="BI27" s="135">
        <f t="shared" si="12"/>
        <v>0</v>
      </c>
      <c r="BJ27" s="135"/>
      <c r="BK27" s="135" t="str">
        <f>IF((Z27&lt;&gt;""),"[br]"&amp;IF(AC27="у","[strike]","")&amp;$A27&amp;". "&amp;Z27&amp;" ("&amp;VLOOKUP(AA27,База!$A$13:$B$17,2,0)&amp;" "&amp;AB27&amp;" ур.)"&amp;IF(AC27="у","[/strike] (цена реорганизации: "&amp;AB27*База!$I$2&amp;")","")&amp;IF(AB27&lt;BL27," (цена апгрейда: "&amp;(BL27-AB27)*База!$I$3&amp;")",""),"")&amp;BK28</f>
        <v/>
      </c>
      <c r="BL27" s="135">
        <f t="shared" si="13"/>
        <v>0</v>
      </c>
      <c r="BM27" s="135">
        <f t="shared" si="14"/>
        <v>0</v>
      </c>
      <c r="BN27" s="135"/>
      <c r="BO27" s="135" t="str">
        <f>IF((AD27&lt;&gt;""),"[br]"&amp;IF(AG27="у","[strike]","")&amp;$A27&amp;". "&amp;AD27&amp;" ("&amp;VLOOKUP(AE27,База!$A$13:$B$17,2,0)&amp;" "&amp;AF27&amp;" ур.)"&amp;IF(AG27="у","[/strike] (цена реорганизации: "&amp;AF27*База!$I$2&amp;")","")&amp;IF(AF27&lt;BP27," (цена апгрейда: "&amp;(BP27-AF27)*База!$I$3&amp;")",""),"")&amp;BO28</f>
        <v/>
      </c>
      <c r="BP27" s="135">
        <f t="shared" si="15"/>
        <v>0</v>
      </c>
      <c r="BQ27" s="135">
        <f t="shared" si="16"/>
        <v>0</v>
      </c>
    </row>
    <row r="28" spans="1:69" x14ac:dyDescent="0.25">
      <c r="A28">
        <v>25</v>
      </c>
      <c r="B28" s="63" t="s">
        <v>613</v>
      </c>
      <c r="C28" s="286" t="s">
        <v>154</v>
      </c>
      <c r="D28" s="286">
        <v>4</v>
      </c>
      <c r="E28" s="267"/>
      <c r="F28" s="48"/>
      <c r="G28" s="50"/>
      <c r="H28" s="50"/>
      <c r="I28" s="50"/>
      <c r="J28" s="66"/>
      <c r="K28" s="252"/>
      <c r="L28" s="252"/>
      <c r="M28" s="252"/>
      <c r="N28" s="58" t="s">
        <v>351</v>
      </c>
      <c r="O28" s="272" t="s">
        <v>153</v>
      </c>
      <c r="P28" s="272">
        <v>3</v>
      </c>
      <c r="Q28" s="261" t="s">
        <v>155</v>
      </c>
      <c r="R28" s="72" t="s">
        <v>531</v>
      </c>
      <c r="S28" s="289" t="s">
        <v>158</v>
      </c>
      <c r="T28" s="289">
        <v>4</v>
      </c>
      <c r="U28" s="289" t="s">
        <v>155</v>
      </c>
      <c r="V28" s="69" t="s">
        <v>463</v>
      </c>
      <c r="W28" s="288" t="s">
        <v>156</v>
      </c>
      <c r="X28" s="288">
        <v>2</v>
      </c>
      <c r="Y28" s="288" t="s">
        <v>155</v>
      </c>
      <c r="Z28" s="26"/>
      <c r="AA28" s="266"/>
      <c r="AB28" s="266"/>
      <c r="AC28" s="266"/>
      <c r="AD28" s="53"/>
      <c r="AE28" s="55"/>
      <c r="AF28" s="55"/>
      <c r="AG28" s="55"/>
      <c r="AI28" s="72"/>
      <c r="AJ28" s="289"/>
      <c r="AK28" s="289"/>
      <c r="AL28" s="289"/>
      <c r="AM28" s="135" t="str">
        <f>IF((B28&lt;&gt;""),"[br]"&amp;IF(E28="у","[strike]","")&amp;$A28&amp;". "&amp;B28&amp;" ("&amp;VLOOKUP(C28,База!$A$13:$B$17,2,0)&amp;" "&amp;D28&amp;" ур.)"&amp;IF(E28="у","[/strike] (цена реорганизации: "&amp;D28*База!$I$2&amp;")","")&amp;IF(D28&lt;AN28," (цена апгрейда: "&amp;(AN28-D28)*База!$I$3&amp;")",""),"")&amp;AM29</f>
        <v>[br]25. 11й авиаполк (авиация 4 ур.)[br]26. 12я катюша (поддержка 4 ур.)[br]27. 12й авиаполк (авиация 4 ур.)[br]28. 2й танк (мобильное 4 ур.)</v>
      </c>
      <c r="AN28" s="135">
        <f t="shared" si="1"/>
        <v>4</v>
      </c>
      <c r="AO28" s="135">
        <f t="shared" si="2"/>
        <v>0</v>
      </c>
      <c r="AP28" s="135"/>
      <c r="AQ28" s="135" t="str">
        <f>IF((F28&lt;&gt;""),"[br]"&amp;IF(I28="у","[strike]","")&amp;$A28&amp;". "&amp;F28&amp;" ("&amp;VLOOKUP(G28,База!$A$13:$B$17,2,0)&amp;" "&amp;H28&amp;" ур.)"&amp;IF(I28="у","[/strike] (цена реорганизации: "&amp;H28*База!$I$2&amp;")","")&amp;IF(H28&lt;AR28," (цена апгрейда: "&amp;(AR28-H28)*База!$I$3&amp;")",""),"")&amp;AQ29</f>
        <v/>
      </c>
      <c r="AR28" s="135">
        <f t="shared" si="3"/>
        <v>0</v>
      </c>
      <c r="AS28" s="135">
        <f t="shared" si="4"/>
        <v>0</v>
      </c>
      <c r="AT28" s="135"/>
      <c r="AU28" s="135" t="str">
        <f>IF((J28&lt;&gt;""),"[br]"&amp;IF(M28="у","[strike]","")&amp;$A28&amp;". "&amp;J28&amp;" ("&amp;VLOOKUP(K28,База!$A$13:$B$17,2,0)&amp;" "&amp;L28&amp;" ур.)"&amp;IF(M28="у","[/strike] (цена реорганизации: "&amp;L28*База!$I$2&amp;")","")&amp;IF(L28&lt;AV28," (цена апгрейда: "&amp;(AV28-L28)*База!$I$3&amp;")",""),"")&amp;AU29</f>
        <v/>
      </c>
      <c r="AV28" s="135">
        <f t="shared" si="5"/>
        <v>0</v>
      </c>
      <c r="AW28" s="135">
        <f t="shared" si="6"/>
        <v>0</v>
      </c>
      <c r="AX28" s="135"/>
      <c r="AY28" s="247" t="str">
        <f>IF((N28&lt;&gt;""),"[br]"&amp;IF(Q28="у","[strike]","")&amp;$A28&amp;". "&amp;N28&amp;" ("&amp;VLOOKUP(O28,База!$A$13:$B$17,2,0)&amp;" "&amp;P28&amp;" ур.)"&amp;IF(Q28="у","[/strike] (цена реорганизации: "&amp;P28*База!$I$2&amp;")","")&amp;IF(P28&lt;AZ28," (цена апгрейда: "&amp;(AZ28-P28)*База!$I$3&amp;")",""),"")&amp;AY29</f>
        <v>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8" s="247">
        <f t="shared" si="7"/>
        <v>3</v>
      </c>
      <c r="BA28" s="247">
        <f t="shared" si="8"/>
        <v>0</v>
      </c>
      <c r="BB28" s="135"/>
      <c r="BC28" s="135" t="str">
        <f>IF((R28&lt;&gt;""),"[br]"&amp;IF(U28="у","[strike]","")&amp;$A28&amp;". "&amp;R28&amp;" ("&amp;VLOOKUP(S28,База!$A$13:$B$17,2,0)&amp;" "&amp;T28&amp;" ур.)"&amp;IF(U28="у","[/strike] (цена реорганизации: "&amp;T28*База!$I$2&amp;")","")&amp;IF(T28&lt;BD28," (цена апгрейда: "&amp;(BD28-T28)*База!$I$3&amp;")",""),"")&amp;BC29</f>
        <v>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8" s="135">
        <f t="shared" si="9"/>
        <v>4</v>
      </c>
      <c r="BE28" s="135">
        <f t="shared" si="10"/>
        <v>0</v>
      </c>
      <c r="BF28" s="135"/>
      <c r="BG28" s="135" t="str">
        <f>IF((V28&lt;&gt;""),"[br]"&amp;IF(Y28="у","[strike]","")&amp;$A28&amp;". "&amp;V28&amp;" ("&amp;VLOOKUP(W28,База!$A$13:$B$17,2,0)&amp;" "&amp;X28&amp;" ур.)"&amp;IF(Y28="у","[/strike] (цена реорганизации: "&amp;X28*База!$I$2&amp;")","")&amp;IF(X28&lt;BH28," (цена апгрейда: "&amp;(BH28-X28)*База!$I$3&amp;")",""),"")&amp;BG29</f>
        <v>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8" s="135">
        <f t="shared" si="11"/>
        <v>2</v>
      </c>
      <c r="BI28" s="135">
        <f t="shared" si="12"/>
        <v>0</v>
      </c>
      <c r="BJ28" s="135"/>
      <c r="BK28" s="135" t="str">
        <f>IF((Z28&lt;&gt;""),"[br]"&amp;IF(AC28="у","[strike]","")&amp;$A28&amp;". "&amp;Z28&amp;" ("&amp;VLOOKUP(AA28,База!$A$13:$B$17,2,0)&amp;" "&amp;AB28&amp;" ур.)"&amp;IF(AC28="у","[/strike] (цена реорганизации: "&amp;AB28*База!$I$2&amp;")","")&amp;IF(AB28&lt;BL28," (цена апгрейда: "&amp;(BL28-AB28)*База!$I$3&amp;")",""),"")&amp;BK29</f>
        <v/>
      </c>
      <c r="BL28" s="135">
        <f t="shared" si="13"/>
        <v>0</v>
      </c>
      <c r="BM28" s="135">
        <f t="shared" si="14"/>
        <v>0</v>
      </c>
      <c r="BN28" s="135"/>
      <c r="BO28" s="135" t="str">
        <f>IF((AD28&lt;&gt;""),"[br]"&amp;IF(AG28="у","[strike]","")&amp;$A28&amp;". "&amp;AD28&amp;" ("&amp;VLOOKUP(AE28,База!$A$13:$B$17,2,0)&amp;" "&amp;AF28&amp;" ур.)"&amp;IF(AG28="у","[/strike] (цена реорганизации: "&amp;AF28*База!$I$2&amp;")","")&amp;IF(AF28&lt;BP28," (цена апгрейда: "&amp;(BP28-AF28)*База!$I$3&amp;")",""),"")&amp;BO29</f>
        <v/>
      </c>
      <c r="BP28" s="135">
        <f t="shared" si="15"/>
        <v>0</v>
      </c>
      <c r="BQ28" s="135">
        <f t="shared" si="16"/>
        <v>0</v>
      </c>
    </row>
    <row r="29" spans="1:69" x14ac:dyDescent="0.25">
      <c r="A29">
        <v>26</v>
      </c>
      <c r="B29" s="63" t="s">
        <v>614</v>
      </c>
      <c r="C29" s="286" t="s">
        <v>158</v>
      </c>
      <c r="D29" s="286">
        <v>4</v>
      </c>
      <c r="E29" s="267"/>
      <c r="F29" s="48"/>
      <c r="G29" s="50"/>
      <c r="H29" s="50"/>
      <c r="I29" s="50"/>
      <c r="J29" s="66"/>
      <c r="K29" s="252"/>
      <c r="L29" s="252"/>
      <c r="M29" s="252"/>
      <c r="N29" s="58" t="s">
        <v>352</v>
      </c>
      <c r="O29" s="272" t="s">
        <v>153</v>
      </c>
      <c r="P29" s="272">
        <v>3</v>
      </c>
      <c r="Q29" s="261" t="s">
        <v>155</v>
      </c>
      <c r="R29" s="72" t="s">
        <v>578</v>
      </c>
      <c r="S29" s="289" t="s">
        <v>154</v>
      </c>
      <c r="T29" s="289">
        <v>4</v>
      </c>
      <c r="U29" s="289" t="s">
        <v>155</v>
      </c>
      <c r="V29" s="69" t="s">
        <v>353</v>
      </c>
      <c r="W29" s="288" t="s">
        <v>153</v>
      </c>
      <c r="X29" s="288">
        <v>1</v>
      </c>
      <c r="Y29" s="288" t="s">
        <v>155</v>
      </c>
      <c r="Z29" s="26"/>
      <c r="AA29" s="279"/>
      <c r="AB29" s="279"/>
      <c r="AC29" s="279"/>
      <c r="AD29" s="53"/>
      <c r="AE29" s="55"/>
      <c r="AF29" s="55"/>
      <c r="AG29" s="55"/>
      <c r="AI29" s="72"/>
      <c r="AJ29" s="289"/>
      <c r="AK29" s="289"/>
      <c r="AL29" s="289"/>
      <c r="AM29" s="135" t="str">
        <f>IF((B29&lt;&gt;""),"[br]"&amp;IF(E29="у","[strike]","")&amp;$A29&amp;". "&amp;B29&amp;" ("&amp;VLOOKUP(C29,База!$A$13:$B$17,2,0)&amp;" "&amp;D29&amp;" ур.)"&amp;IF(E29="у","[/strike] (цена реорганизации: "&amp;D29*База!$I$2&amp;")","")&amp;IF(D29&lt;AN29," (цена апгрейда: "&amp;(AN29-D29)*База!$I$3&amp;")",""),"")&amp;AM30</f>
        <v>[br]26. 12я катюша (поддержка 4 ур.)[br]27. 12й авиаполк (авиация 4 ур.)[br]28. 2й танк (мобильное 4 ур.)</v>
      </c>
      <c r="AN29" s="135">
        <f t="shared" si="1"/>
        <v>4</v>
      </c>
      <c r="AO29" s="135">
        <f t="shared" si="2"/>
        <v>0</v>
      </c>
      <c r="AP29" s="135"/>
      <c r="AQ29" s="135" t="str">
        <f>IF((F29&lt;&gt;""),"[br]"&amp;IF(I29="у","[strike]","")&amp;$A29&amp;". "&amp;F29&amp;" ("&amp;VLOOKUP(G29,База!$A$13:$B$17,2,0)&amp;" "&amp;H29&amp;" ур.)"&amp;IF(I29="у","[/strike] (цена реорганизации: "&amp;H29*База!$I$2&amp;")","")&amp;IF(H29&lt;AR29," (цена апгрейда: "&amp;(AR29-H29)*База!$I$3&amp;")",""),"")&amp;AQ30</f>
        <v/>
      </c>
      <c r="AR29" s="135">
        <f t="shared" si="3"/>
        <v>0</v>
      </c>
      <c r="AS29" s="135">
        <f t="shared" si="4"/>
        <v>0</v>
      </c>
      <c r="AT29" s="135"/>
      <c r="AU29" s="135" t="str">
        <f>IF((J29&lt;&gt;""),"[br]"&amp;IF(M29="у","[strike]","")&amp;$A29&amp;". "&amp;J29&amp;" ("&amp;VLOOKUP(K29,База!$A$13:$B$17,2,0)&amp;" "&amp;L29&amp;" ур.)"&amp;IF(M29="у","[/strike] (цена реорганизации: "&amp;L29*База!$I$2&amp;")","")&amp;IF(L29&lt;AV29," (цена апгрейда: "&amp;(AV29-L29)*База!$I$3&amp;")",""),"")&amp;AU30</f>
        <v/>
      </c>
      <c r="AV29" s="135">
        <f t="shared" si="5"/>
        <v>0</v>
      </c>
      <c r="AW29" s="135">
        <f t="shared" si="6"/>
        <v>0</v>
      </c>
      <c r="AX29" s="135"/>
      <c r="AY29" s="135" t="str">
        <f>IF((N29&lt;&gt;""),"[br]"&amp;IF(Q29="у","[strike]","")&amp;$A29&amp;". "&amp;N29&amp;" ("&amp;VLOOKUP(O29,База!$A$13:$B$17,2,0)&amp;" "&amp;P29&amp;" ур.)"&amp;IF(Q29="у","[/strike] (цена реорганизации: "&amp;P29*База!$I$2&amp;")","")&amp;IF(P29&lt;AZ29," (цена апгрейда: "&amp;(AZ29-P29)*База!$I$3&amp;")",""),"")&amp;AY30</f>
        <v>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29" s="135">
        <f t="shared" ref="AZ29:AZ35" si="17">IF(N29&lt;&gt;"",VLOOKUP(O29,O$55:P$59,2,0),0)</f>
        <v>3</v>
      </c>
      <c r="BA29" s="135">
        <f t="shared" ref="BA29:BA35" si="18">1*(P29&lt;AZ29)</f>
        <v>0</v>
      </c>
      <c r="BB29" s="135"/>
      <c r="BC29" s="135" t="str">
        <f>IF((R29&lt;&gt;""),"[br]"&amp;IF(U29="у","[strike]","")&amp;$A29&amp;". "&amp;R29&amp;" ("&amp;VLOOKUP(S29,База!$A$13:$B$17,2,0)&amp;" "&amp;T29&amp;" ур.)"&amp;IF(U29="у","[/strike] (цена реорганизации: "&amp;T29*База!$I$2&amp;")","")&amp;IF(T29&lt;BD29," (цена апгрейда: "&amp;(BD29-T29)*База!$I$3&amp;")",""),"")&amp;BC30</f>
        <v>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29" s="135">
        <f t="shared" si="9"/>
        <v>4</v>
      </c>
      <c r="BE29" s="135">
        <f t="shared" si="10"/>
        <v>0</v>
      </c>
      <c r="BF29" s="135"/>
      <c r="BG29" s="135" t="str">
        <f>IF((V29&lt;&gt;""),"[br]"&amp;IF(Y29="у","[strike]","")&amp;$A29&amp;". "&amp;V29&amp;" ("&amp;VLOOKUP(W29,База!$A$13:$B$17,2,0)&amp;" "&amp;X29&amp;" ур.)"&amp;IF(Y29="у","[/strike] (цена реорганизации: "&amp;X29*База!$I$2&amp;")","")&amp;IF(X29&lt;BH29," (цена апгрейда: "&amp;(BH29-X29)*База!$I$3&amp;")",""),"")&amp;BG30</f>
        <v>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29" s="135">
        <f t="shared" si="11"/>
        <v>1</v>
      </c>
      <c r="BI29" s="135">
        <f t="shared" si="12"/>
        <v>0</v>
      </c>
      <c r="BJ29" s="135"/>
      <c r="BK29" s="135" t="str">
        <f>IF((Z29&lt;&gt;""),"[br]"&amp;IF(AC29="у","[strike]","")&amp;$A29&amp;". "&amp;Z29&amp;" ("&amp;VLOOKUP(AA29,База!$A$13:$B$17,2,0)&amp;" "&amp;AB29&amp;" ур.)"&amp;IF(AC29="у","[/strike] (цена реорганизации: "&amp;AB29*База!$I$2&amp;")","")&amp;IF(AB29&lt;BL29," (цена апгрейда: "&amp;(BL29-AB29)*База!$I$3&amp;")",""),"")&amp;BK30</f>
        <v/>
      </c>
      <c r="BL29" s="135">
        <f t="shared" si="13"/>
        <v>0</v>
      </c>
      <c r="BM29" s="135">
        <f t="shared" si="14"/>
        <v>0</v>
      </c>
      <c r="BN29" s="135"/>
      <c r="BO29" s="135" t="str">
        <f>IF((AD29&lt;&gt;""),"[br]"&amp;IF(AG29="у","[strike]","")&amp;$A29&amp;". "&amp;AD29&amp;" ("&amp;VLOOKUP(AE29,База!$A$13:$B$17,2,0)&amp;" "&amp;AF29&amp;" ур.)"&amp;IF(AG29="у","[/strike] (цена реорганизации: "&amp;AF29*База!$I$2&amp;")","")&amp;IF(AF29&lt;BP29," (цена апгрейда: "&amp;(BP29-AF29)*База!$I$3&amp;")",""),"")&amp;BO30</f>
        <v/>
      </c>
      <c r="BP29" s="135">
        <f t="shared" si="15"/>
        <v>0</v>
      </c>
      <c r="BQ29" s="135">
        <f t="shared" si="16"/>
        <v>0</v>
      </c>
    </row>
    <row r="30" spans="1:69" x14ac:dyDescent="0.25">
      <c r="A30">
        <v>27</v>
      </c>
      <c r="B30" s="63" t="s">
        <v>615</v>
      </c>
      <c r="C30" s="286" t="s">
        <v>154</v>
      </c>
      <c r="D30" s="286">
        <v>4</v>
      </c>
      <c r="E30" s="267"/>
      <c r="F30" s="48"/>
      <c r="G30" s="50"/>
      <c r="H30" s="50"/>
      <c r="I30" s="50"/>
      <c r="J30" s="66"/>
      <c r="K30" s="252"/>
      <c r="L30" s="252"/>
      <c r="M30" s="252"/>
      <c r="N30" s="58" t="s">
        <v>526</v>
      </c>
      <c r="O30" s="261" t="s">
        <v>158</v>
      </c>
      <c r="P30" s="261">
        <v>4</v>
      </c>
      <c r="Q30" s="261" t="s">
        <v>155</v>
      </c>
      <c r="R30" s="72" t="s">
        <v>527</v>
      </c>
      <c r="S30" s="289" t="s">
        <v>158</v>
      </c>
      <c r="T30" s="289">
        <v>3</v>
      </c>
      <c r="U30" s="289" t="s">
        <v>155</v>
      </c>
      <c r="V30" s="69" t="s">
        <v>487</v>
      </c>
      <c r="W30" s="288" t="s">
        <v>154</v>
      </c>
      <c r="X30" s="288">
        <v>3</v>
      </c>
      <c r="Y30" s="288" t="s">
        <v>155</v>
      </c>
      <c r="Z30" s="26"/>
      <c r="AA30" s="279"/>
      <c r="AB30" s="279"/>
      <c r="AC30" s="279"/>
      <c r="AD30" s="53"/>
      <c r="AE30" s="55"/>
      <c r="AF30" s="55"/>
      <c r="AG30" s="55"/>
      <c r="AI30" s="72"/>
      <c r="AJ30" s="289"/>
      <c r="AK30" s="289"/>
      <c r="AL30" s="289"/>
      <c r="AM30" s="135" t="str">
        <f>IF((B30&lt;&gt;""),"[br]"&amp;IF(E30="у","[strike]","")&amp;$A30&amp;". "&amp;B30&amp;" ("&amp;VLOOKUP(C30,База!$A$13:$B$17,2,0)&amp;" "&amp;D30&amp;" ур.)"&amp;IF(E30="у","[/strike] (цена реорганизации: "&amp;D30*База!$I$2&amp;")","")&amp;IF(D30&lt;AN30," (цена апгрейда: "&amp;(AN30-D30)*База!$I$3&amp;")",""),"")&amp;AM31</f>
        <v>[br]27. 12й авиаполк (авиация 4 ур.)[br]28. 2й танк (мобильное 4 ур.)</v>
      </c>
      <c r="AN30" s="135">
        <f t="shared" si="1"/>
        <v>4</v>
      </c>
      <c r="AO30" s="135">
        <f t="shared" si="2"/>
        <v>0</v>
      </c>
      <c r="AP30" s="135"/>
      <c r="AQ30" s="135" t="str">
        <f>IF((F30&lt;&gt;""),"[br]"&amp;IF(I30="у","[strike]","")&amp;$A30&amp;". "&amp;F30&amp;" ("&amp;VLOOKUP(G30,База!$A$13:$B$17,2,0)&amp;" "&amp;H30&amp;" ур.)"&amp;IF(I30="у","[/strike] (цена реорганизации: "&amp;H30*База!$I$2&amp;")","")&amp;IF(H30&lt;AR30," (цена апгрейда: "&amp;(AR30-H30)*База!$I$3&amp;")",""),"")&amp;AQ31</f>
        <v/>
      </c>
      <c r="AR30" s="135">
        <f t="shared" si="3"/>
        <v>0</v>
      </c>
      <c r="AS30" s="135">
        <f t="shared" si="4"/>
        <v>0</v>
      </c>
      <c r="AT30" s="135"/>
      <c r="AU30" s="135" t="str">
        <f>IF((J30&lt;&gt;""),"[br]"&amp;IF(M30="у","[strike]","")&amp;$A30&amp;". "&amp;J30&amp;" ("&amp;VLOOKUP(K30,База!$A$13:$B$17,2,0)&amp;" "&amp;L30&amp;" ур.)"&amp;IF(M30="у","[/strike] (цена реорганизации: "&amp;L30*База!$I$2&amp;")","")&amp;IF(L30&lt;AV30," (цена апгрейда: "&amp;(AV30-L30)*База!$I$3&amp;")",""),"")&amp;AU31</f>
        <v/>
      </c>
      <c r="AV30" s="135">
        <f t="shared" si="5"/>
        <v>0</v>
      </c>
      <c r="AW30" s="135">
        <f t="shared" si="6"/>
        <v>0</v>
      </c>
      <c r="AX30" s="135"/>
      <c r="AY30" s="135" t="str">
        <f>IF((N30&lt;&gt;""),"[br]"&amp;IF(Q30="у","[strike]","")&amp;$A30&amp;". "&amp;N30&amp;" ("&amp;VLOOKUP(O30,База!$A$13:$B$17,2,0)&amp;" "&amp;P30&amp;" ур.)"&amp;IF(Q30="у","[/strike] (цена реорганизации: "&amp;P30*База!$I$2&amp;")","")&amp;IF(P30&lt;AZ30," (цена апгрейда: "&amp;(AZ30-P30)*База!$I$3&amp;")",""),"")&amp;AY31</f>
        <v>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30" s="135">
        <f>IF(N30&lt;&gt;"",VLOOKUP(O30,O$55:P$59,2,0),0)</f>
        <v>4</v>
      </c>
      <c r="BA30" s="135">
        <f t="shared" si="18"/>
        <v>0</v>
      </c>
      <c r="BB30" s="135"/>
      <c r="BC30" s="135" t="str">
        <f>IF((R30&lt;&gt;""),"[br]"&amp;IF(U30="у","[strike]","")&amp;$A30&amp;". "&amp;R30&amp;" ("&amp;VLOOKUP(S30,База!$A$13:$B$17,2,0)&amp;" "&amp;T30&amp;" ур.)"&amp;IF(U30="у","[/strike] (цена реорганизации: "&amp;T30*База!$I$2&amp;")","")&amp;IF(T30&lt;BD30," (цена апгрейда: "&amp;(BD30-T30)*База!$I$3&amp;")",""),"")&amp;BC31</f>
        <v>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0" s="135">
        <f t="shared" si="9"/>
        <v>4</v>
      </c>
      <c r="BE30" s="135">
        <f t="shared" si="10"/>
        <v>1</v>
      </c>
      <c r="BF30" s="135"/>
      <c r="BG30" s="135" t="str">
        <f>IF((V30&lt;&gt;""),"[br]"&amp;IF(Y30="у","[strike]","")&amp;$A30&amp;". "&amp;V30&amp;" ("&amp;VLOOKUP(W30,База!$A$13:$B$17,2,0)&amp;" "&amp;X30&amp;" ур.)"&amp;IF(Y30="у","[/strike] (цена реорганизации: "&amp;X30*База!$I$2&amp;")","")&amp;IF(X30&lt;BH30," (цена апгрейда: "&amp;(BH30-X30)*База!$I$3&amp;")",""),"")&amp;BG31</f>
        <v>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30" s="135">
        <f t="shared" si="11"/>
        <v>4</v>
      </c>
      <c r="BI30" s="135">
        <f t="shared" si="12"/>
        <v>1</v>
      </c>
      <c r="BJ30" s="135"/>
      <c r="BK30" s="135" t="str">
        <f>IF((Z30&lt;&gt;""),"[br]"&amp;IF(AC30="у","[strike]","")&amp;$A30&amp;". "&amp;Z30&amp;" ("&amp;VLOOKUP(AA30,База!$A$13:$B$17,2,0)&amp;" "&amp;AB30&amp;" ур.)"&amp;IF(AC30="у","[/strike] (цена реорганизации: "&amp;AB30*База!$I$2&amp;")","")&amp;IF(AB30&lt;BL30," (цена апгрейда: "&amp;(BL30-AB30)*База!$I$3&amp;")",""),"")&amp;BK31</f>
        <v/>
      </c>
      <c r="BL30" s="135">
        <f t="shared" si="13"/>
        <v>0</v>
      </c>
      <c r="BM30" s="135">
        <f t="shared" si="14"/>
        <v>0</v>
      </c>
      <c r="BN30" s="135"/>
      <c r="BO30" s="135" t="str">
        <f>IF((AD30&lt;&gt;""),"[br]"&amp;IF(AG30="у","[strike]","")&amp;$A30&amp;". "&amp;AD30&amp;" ("&amp;VLOOKUP(AE30,База!$A$13:$B$17,2,0)&amp;" "&amp;AF30&amp;" ур.)"&amp;IF(AG30="у","[/strike] (цена реорганизации: "&amp;AF30*База!$I$2&amp;")","")&amp;IF(AF30&lt;BP30," (цена апгрейда: "&amp;(BP30-AF30)*База!$I$3&amp;")",""),"")&amp;BO31</f>
        <v/>
      </c>
      <c r="BP30" s="135">
        <f t="shared" si="15"/>
        <v>0</v>
      </c>
      <c r="BQ30" s="135">
        <f t="shared" si="16"/>
        <v>0</v>
      </c>
    </row>
    <row r="31" spans="1:69" x14ac:dyDescent="0.25">
      <c r="A31">
        <v>28</v>
      </c>
      <c r="B31" s="63" t="s">
        <v>616</v>
      </c>
      <c r="C31" s="267" t="s">
        <v>156</v>
      </c>
      <c r="D31" s="267">
        <v>4</v>
      </c>
      <c r="E31" s="267"/>
      <c r="F31" s="48"/>
      <c r="G31" s="50"/>
      <c r="H31" s="50"/>
      <c r="I31" s="50"/>
      <c r="J31" s="66"/>
      <c r="K31" s="252"/>
      <c r="L31" s="252"/>
      <c r="M31" s="252"/>
      <c r="N31" s="58" t="s">
        <v>579</v>
      </c>
      <c r="O31" s="282" t="s">
        <v>154</v>
      </c>
      <c r="P31" s="282">
        <v>3</v>
      </c>
      <c r="Q31" s="261" t="s">
        <v>155</v>
      </c>
      <c r="R31" s="72" t="s">
        <v>533</v>
      </c>
      <c r="S31" s="289" t="s">
        <v>154</v>
      </c>
      <c r="T31" s="289">
        <v>4</v>
      </c>
      <c r="U31" s="289" t="s">
        <v>155</v>
      </c>
      <c r="V31" s="69" t="s">
        <v>488</v>
      </c>
      <c r="W31" s="288" t="s">
        <v>154</v>
      </c>
      <c r="X31" s="288">
        <v>3</v>
      </c>
      <c r="Y31" s="288" t="s">
        <v>155</v>
      </c>
      <c r="Z31" s="26"/>
      <c r="AA31" s="279"/>
      <c r="AB31" s="279"/>
      <c r="AC31" s="279"/>
      <c r="AD31" s="53"/>
      <c r="AE31" s="55"/>
      <c r="AF31" s="55"/>
      <c r="AG31" s="55"/>
      <c r="AI31" s="72"/>
      <c r="AJ31" s="289"/>
      <c r="AK31" s="289"/>
      <c r="AL31" s="289"/>
      <c r="AM31" s="135" t="str">
        <f>IF((B31&lt;&gt;""),"[br]"&amp;IF(E31="у","[strike]","")&amp;$A31&amp;". "&amp;B31&amp;" ("&amp;VLOOKUP(C31,База!$A$13:$B$17,2,0)&amp;" "&amp;D31&amp;" ур.)"&amp;IF(E31="у","[/strike] (цена реорганизации: "&amp;D31*База!$I$2&amp;")","")&amp;IF(D31&lt;AN31," (цена апгрейда: "&amp;(AN31-D31)*База!$I$3&amp;")",""),"")&amp;AM32</f>
        <v>[br]28. 2й танк (мобильное 4 ур.)</v>
      </c>
      <c r="AN31" s="135">
        <f t="shared" si="1"/>
        <v>4</v>
      </c>
      <c r="AO31" s="135">
        <f t="shared" si="2"/>
        <v>0</v>
      </c>
      <c r="AP31" s="135"/>
      <c r="AQ31" s="135" t="str">
        <f>IF((F31&lt;&gt;""),"[br]"&amp;IF(I31="у","[strike]","")&amp;$A31&amp;". "&amp;F31&amp;" ("&amp;VLOOKUP(G31,База!$A$13:$B$17,2,0)&amp;" "&amp;H31&amp;" ур.)"&amp;IF(I31="у","[/strike] (цена реорганизации: "&amp;H31*База!$I$2&amp;")","")&amp;IF(H31&lt;AR31," (цена апгрейда: "&amp;(AR31-H31)*База!$I$3&amp;")",""),"")&amp;AQ32</f>
        <v/>
      </c>
      <c r="AR31" s="135">
        <f t="shared" si="3"/>
        <v>0</v>
      </c>
      <c r="AS31" s="135">
        <f t="shared" si="4"/>
        <v>0</v>
      </c>
      <c r="AT31" s="135"/>
      <c r="AU31" s="135" t="str">
        <f>IF((J31&lt;&gt;""),"[br]"&amp;IF(M31="у","[strike]","")&amp;$A31&amp;". "&amp;J31&amp;" ("&amp;VLOOKUP(K31,База!$A$13:$B$17,2,0)&amp;" "&amp;L31&amp;" ур.)"&amp;IF(M31="у","[/strike] (цена реорганизации: "&amp;L31*База!$I$2&amp;")","")&amp;IF(L31&lt;AV31," (цена апгрейда: "&amp;(AV31-L31)*База!$I$3&amp;")",""),"")&amp;AU32</f>
        <v/>
      </c>
      <c r="AV31" s="135">
        <f t="shared" si="5"/>
        <v>0</v>
      </c>
      <c r="AW31" s="135">
        <f t="shared" si="6"/>
        <v>0</v>
      </c>
      <c r="AX31" s="135"/>
      <c r="AY31" s="135" t="str">
        <f>IF((N31&lt;&gt;""),"[br]"&amp;IF(Q31="у","[strike]","")&amp;$A31&amp;". "&amp;N31&amp;" ("&amp;VLOOKUP(O31,База!$A$13:$B$17,2,0)&amp;" "&amp;P31&amp;" ур.)"&amp;IF(Q31="у","[/strike] (цена реорганизации: "&amp;P31*База!$I$2&amp;")","")&amp;IF(P31&lt;AZ31," (цена апгрейда: "&amp;(AZ31-P31)*База!$I$3&amp;")",""),"")&amp;AY32</f>
        <v>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31" s="135">
        <f t="shared" si="17"/>
        <v>3</v>
      </c>
      <c r="BA31" s="135">
        <f t="shared" si="18"/>
        <v>0</v>
      </c>
      <c r="BB31" s="135"/>
      <c r="BC31" s="135" t="str">
        <f>IF((R31&lt;&gt;""),"[br]"&amp;IF(U31="у","[strike]","")&amp;$A31&amp;". "&amp;R31&amp;" ("&amp;VLOOKUP(S31,База!$A$13:$B$17,2,0)&amp;" "&amp;T31&amp;" ур.)"&amp;IF(U31="у","[/strike] (цена реорганизации: "&amp;T31*База!$I$2&amp;")","")&amp;IF(T31&lt;BD31," (цена апгрейда: "&amp;(BD31-T31)*База!$I$3&amp;")",""),"")&amp;BC32</f>
        <v>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1" s="135">
        <f t="shared" si="9"/>
        <v>4</v>
      </c>
      <c r="BE31" s="135">
        <f t="shared" si="10"/>
        <v>0</v>
      </c>
      <c r="BF31" s="135"/>
      <c r="BG31" s="135" t="str">
        <f>IF((V31&lt;&gt;""),"[br]"&amp;IF(Y31="у","[strike]","")&amp;$A31&amp;". "&amp;V31&amp;" ("&amp;VLOOKUP(W31,База!$A$13:$B$17,2,0)&amp;" "&amp;X31&amp;" ур.)"&amp;IF(Y31="у","[/strike] (цена реорганизации: "&amp;X31*База!$I$2&amp;")","")&amp;IF(X31&lt;BH31," (цена апгрейда: "&amp;(BH31-X31)*База!$I$3&amp;")",""),"")&amp;BG32</f>
        <v>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31" s="135">
        <f t="shared" si="11"/>
        <v>4</v>
      </c>
      <c r="BI31" s="135">
        <f t="shared" si="12"/>
        <v>1</v>
      </c>
      <c r="BJ31" s="135"/>
      <c r="BK31" s="135" t="str">
        <f>IF((Z31&lt;&gt;""),"[br]"&amp;IF(AC31="у","[strike]","")&amp;$A31&amp;". "&amp;Z31&amp;" ("&amp;VLOOKUP(AA31,База!$A$13:$B$17,2,0)&amp;" "&amp;AB31&amp;" ур.)"&amp;IF(AC31="у","[/strike] (цена реорганизации: "&amp;AB31*База!$I$2&amp;")","")&amp;IF(AB31&lt;BL31," (цена апгрейда: "&amp;(BL31-AB31)*База!$I$3&amp;")",""),"")&amp;BK32</f>
        <v/>
      </c>
      <c r="BL31" s="135">
        <f t="shared" si="13"/>
        <v>0</v>
      </c>
      <c r="BM31" s="135">
        <f t="shared" si="14"/>
        <v>0</v>
      </c>
      <c r="BN31" s="135"/>
      <c r="BO31" s="135" t="str">
        <f>IF((AD31&lt;&gt;""),"[br]"&amp;IF(AG31="у","[strike]","")&amp;$A31&amp;". "&amp;AD31&amp;" ("&amp;VLOOKUP(AE31,База!$A$13:$B$17,2,0)&amp;" "&amp;AF31&amp;" ур.)"&amp;IF(AG31="у","[/strike] (цена реорганизации: "&amp;AF31*База!$I$2&amp;")","")&amp;IF(AF31&lt;BP31," (цена апгрейда: "&amp;(BP31-AF31)*База!$I$3&amp;")",""),"")&amp;BO32</f>
        <v/>
      </c>
      <c r="BP31" s="135">
        <f t="shared" si="15"/>
        <v>0</v>
      </c>
      <c r="BQ31" s="135">
        <f t="shared" si="16"/>
        <v>0</v>
      </c>
    </row>
    <row r="32" spans="1:69" x14ac:dyDescent="0.25">
      <c r="A32">
        <v>29</v>
      </c>
      <c r="B32" s="63"/>
      <c r="C32" s="267"/>
      <c r="D32" s="267"/>
      <c r="E32" s="267"/>
      <c r="F32" s="48"/>
      <c r="G32" s="50"/>
      <c r="H32" s="50"/>
      <c r="I32" s="50"/>
      <c r="J32" s="66"/>
      <c r="K32" s="252"/>
      <c r="L32" s="252"/>
      <c r="M32" s="252"/>
      <c r="N32" s="58" t="s">
        <v>580</v>
      </c>
      <c r="O32" s="282" t="s">
        <v>154</v>
      </c>
      <c r="P32" s="282">
        <v>3</v>
      </c>
      <c r="Q32" s="261" t="s">
        <v>155</v>
      </c>
      <c r="R32" s="72" t="s">
        <v>528</v>
      </c>
      <c r="S32" s="289" t="s">
        <v>158</v>
      </c>
      <c r="T32" s="289">
        <v>3</v>
      </c>
      <c r="U32" s="289" t="s">
        <v>155</v>
      </c>
      <c r="V32" s="69" t="s">
        <v>490</v>
      </c>
      <c r="W32" s="288" t="s">
        <v>154</v>
      </c>
      <c r="X32" s="288">
        <v>4</v>
      </c>
      <c r="Y32" s="288" t="s">
        <v>155</v>
      </c>
      <c r="Z32" s="26"/>
      <c r="AA32" s="279"/>
      <c r="AB32" s="279"/>
      <c r="AC32" s="279"/>
      <c r="AD32" s="53"/>
      <c r="AE32" s="55"/>
      <c r="AF32" s="55"/>
      <c r="AG32" s="55"/>
      <c r="AI32" s="72"/>
      <c r="AJ32" s="289"/>
      <c r="AK32" s="289"/>
      <c r="AL32" s="289"/>
      <c r="AM32" s="135" t="str">
        <f>IF((B32&lt;&gt;""),"[br]"&amp;IF(E32="у","[strike]","")&amp;$A32&amp;". "&amp;B32&amp;" ("&amp;VLOOKUP(C32,База!$A$13:$B$17,2,0)&amp;" "&amp;D32&amp;" ур.)"&amp;IF(E32="у","[/strike] (цена реорганизации: "&amp;D32*База!$I$2&amp;")","")&amp;IF(D32&lt;AN32," (цена апгрейда: "&amp;(AN32-D32)*База!$I$3&amp;")",""),"")&amp;AM33</f>
        <v/>
      </c>
      <c r="AN32" s="135">
        <f t="shared" si="1"/>
        <v>0</v>
      </c>
      <c r="AO32" s="135">
        <f t="shared" si="2"/>
        <v>0</v>
      </c>
      <c r="AP32" s="135"/>
      <c r="AQ32" s="135" t="str">
        <f>IF((F32&lt;&gt;""),"[br]"&amp;IF(I32="у","[strike]","")&amp;$A32&amp;". "&amp;F32&amp;" ("&amp;VLOOKUP(G32,База!$A$13:$B$17,2,0)&amp;" "&amp;H32&amp;" ур.)"&amp;IF(I32="у","[/strike] (цена реорганизации: "&amp;H32*База!$I$2&amp;")","")&amp;IF(H32&lt;AR32," (цена апгрейда: "&amp;(AR32-H32)*База!$I$3&amp;")",""),"")&amp;AQ33</f>
        <v/>
      </c>
      <c r="AR32" s="135">
        <f t="shared" si="3"/>
        <v>0</v>
      </c>
      <c r="AS32" s="135">
        <f t="shared" si="4"/>
        <v>0</v>
      </c>
      <c r="AT32" s="135"/>
      <c r="AU32" s="135" t="str">
        <f>IF((J32&lt;&gt;""),"[br]"&amp;IF(M32="у","[strike]","")&amp;$A32&amp;". "&amp;J32&amp;" ("&amp;VLOOKUP(K32,База!$A$13:$B$17,2,0)&amp;" "&amp;L32&amp;" ур.)"&amp;IF(M32="у","[/strike] (цена реорганизации: "&amp;L32*База!$I$2&amp;")","")&amp;IF(L32&lt;AV32," (цена апгрейда: "&amp;(AV32-L32)*База!$I$3&amp;")",""),"")&amp;AU33</f>
        <v/>
      </c>
      <c r="AV32" s="135">
        <f t="shared" si="5"/>
        <v>0</v>
      </c>
      <c r="AW32" s="135">
        <f t="shared" si="6"/>
        <v>0</v>
      </c>
      <c r="AX32" s="135"/>
      <c r="AY32" s="135" t="str">
        <f>IF((N32&lt;&gt;""),"[br]"&amp;IF(Q32="у","[strike]","")&amp;$A32&amp;". "&amp;N32&amp;" ("&amp;VLOOKUP(O32,База!$A$13:$B$17,2,0)&amp;" "&amp;P32&amp;" ур.)"&amp;IF(Q32="у","[/strike] (цена реорганизации: "&amp;P32*База!$I$2&amp;")","")&amp;IF(P32&lt;AZ32," (цена апгрейда: "&amp;(AZ32-P32)*База!$I$3&amp;")",""),"")&amp;AY33</f>
        <v>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32" s="135">
        <f t="shared" si="17"/>
        <v>3</v>
      </c>
      <c r="BA32" s="135">
        <f t="shared" si="18"/>
        <v>0</v>
      </c>
      <c r="BB32" s="135"/>
      <c r="BC32" s="135" t="str">
        <f>IF((R32&lt;&gt;""),"[br]"&amp;IF(U32="у","[strike]","")&amp;$A32&amp;". "&amp;R32&amp;" ("&amp;VLOOKUP(S32,База!$A$13:$B$17,2,0)&amp;" "&amp;T32&amp;" ур.)"&amp;IF(U32="у","[/strike] (цена реорганизации: "&amp;T32*База!$I$2&amp;")","")&amp;IF(T32&lt;BD32," (цена апгрейда: "&amp;(BD32-T32)*База!$I$3&amp;")",""),"")&amp;BC33</f>
        <v>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2" s="135">
        <f t="shared" si="9"/>
        <v>4</v>
      </c>
      <c r="BE32" s="135">
        <f t="shared" si="10"/>
        <v>1</v>
      </c>
      <c r="BF32" s="135"/>
      <c r="BG32" s="135" t="str">
        <f>IF((V32&lt;&gt;""),"[br]"&amp;IF(Y32="у","[strike]","")&amp;$A32&amp;". "&amp;V32&amp;" ("&amp;VLOOKUP(W32,База!$A$13:$B$17,2,0)&amp;" "&amp;X32&amp;" ур.)"&amp;IF(Y32="у","[/strike] (цена реорганизации: "&amp;X32*База!$I$2&amp;")","")&amp;IF(X32&lt;BH32," (цена апгрейда: "&amp;(BH32-X32)*База!$I$3&amp;")",""),"")&amp;BG33</f>
        <v>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32" s="135">
        <f t="shared" si="11"/>
        <v>4</v>
      </c>
      <c r="BI32" s="135">
        <f t="shared" si="12"/>
        <v>0</v>
      </c>
      <c r="BJ32" s="135"/>
      <c r="BK32" s="135" t="str">
        <f>IF((Z32&lt;&gt;""),"[br]"&amp;IF(AC32="у","[strike]","")&amp;$A32&amp;". "&amp;Z32&amp;" ("&amp;VLOOKUP(AA32,База!$A$13:$B$17,2,0)&amp;" "&amp;AB32&amp;" ур.)"&amp;IF(AC32="у","[/strike] (цена реорганизации: "&amp;AB32*База!$I$2&amp;")","")&amp;IF(AB32&lt;BL32," (цена апгрейда: "&amp;(BL32-AB32)*База!$I$3&amp;")",""),"")&amp;BK33</f>
        <v/>
      </c>
      <c r="BL32" s="135">
        <f t="shared" si="13"/>
        <v>0</v>
      </c>
      <c r="BM32" s="135">
        <f t="shared" si="14"/>
        <v>0</v>
      </c>
      <c r="BN32" s="135"/>
      <c r="BO32" s="135" t="str">
        <f>IF((AD32&lt;&gt;""),"[br]"&amp;IF(AG32="у","[strike]","")&amp;$A32&amp;". "&amp;AD32&amp;" ("&amp;VLOOKUP(AE32,База!$A$13:$B$17,2,0)&amp;" "&amp;AF32&amp;" ур.)"&amp;IF(AG32="у","[/strike] (цена реорганизации: "&amp;AF32*База!$I$2&amp;")","")&amp;IF(AF32&lt;BP32," (цена апгрейда: "&amp;(BP32-AF32)*База!$I$3&amp;")",""),"")&amp;BO33</f>
        <v/>
      </c>
      <c r="BP32" s="135">
        <f t="shared" si="15"/>
        <v>0</v>
      </c>
      <c r="BQ32" s="135">
        <f t="shared" si="16"/>
        <v>0</v>
      </c>
    </row>
    <row r="33" spans="1:69" x14ac:dyDescent="0.25">
      <c r="A33">
        <v>30</v>
      </c>
      <c r="B33" s="63"/>
      <c r="C33" s="267"/>
      <c r="D33" s="267"/>
      <c r="E33" s="267"/>
      <c r="F33" s="48"/>
      <c r="G33" s="50"/>
      <c r="H33" s="50"/>
      <c r="I33" s="50"/>
      <c r="J33" s="66"/>
      <c r="K33" s="252"/>
      <c r="L33" s="252"/>
      <c r="M33" s="252"/>
      <c r="N33" s="58" t="s">
        <v>581</v>
      </c>
      <c r="O33" s="282" t="s">
        <v>154</v>
      </c>
      <c r="P33" s="282">
        <v>3</v>
      </c>
      <c r="Q33" s="261" t="s">
        <v>155</v>
      </c>
      <c r="R33" s="72" t="s">
        <v>529</v>
      </c>
      <c r="S33" s="289" t="s">
        <v>158</v>
      </c>
      <c r="T33" s="289">
        <v>3</v>
      </c>
      <c r="U33" s="289" t="s">
        <v>155</v>
      </c>
      <c r="V33" s="69" t="s">
        <v>476</v>
      </c>
      <c r="W33" s="288" t="s">
        <v>156</v>
      </c>
      <c r="X33" s="288">
        <v>2</v>
      </c>
      <c r="Y33" s="288" t="s">
        <v>155</v>
      </c>
      <c r="Z33" s="26"/>
      <c r="AA33" s="279"/>
      <c r="AB33" s="279"/>
      <c r="AC33" s="279"/>
      <c r="AD33" s="53"/>
      <c r="AE33" s="55"/>
      <c r="AF33" s="55"/>
      <c r="AG33" s="55"/>
      <c r="AI33" s="72"/>
      <c r="AJ33" s="289"/>
      <c r="AK33" s="289"/>
      <c r="AL33" s="289"/>
      <c r="AM33" s="135" t="str">
        <f>IF((B33&lt;&gt;""),"[br]"&amp;IF(E33="у","[strike]","")&amp;$A33&amp;". "&amp;B33&amp;" ("&amp;VLOOKUP(C33,База!$A$13:$B$17,2,0)&amp;" "&amp;D33&amp;" ур.)"&amp;IF(E33="у","[/strike] (цена реорганизации: "&amp;D33*База!$I$2&amp;")","")&amp;IF(D33&lt;AN33," (цена апгрейда: "&amp;(AN33-D33)*База!$I$3&amp;")",""),"")&amp;AM34</f>
        <v/>
      </c>
      <c r="AN33" s="135">
        <f t="shared" si="1"/>
        <v>0</v>
      </c>
      <c r="AO33" s="135">
        <f t="shared" si="2"/>
        <v>0</v>
      </c>
      <c r="AP33" s="135"/>
      <c r="AQ33" s="135" t="str">
        <f>IF((F33&lt;&gt;""),"[br]"&amp;IF(I33="у","[strike]","")&amp;$A33&amp;". "&amp;F33&amp;" ("&amp;VLOOKUP(G33,База!$A$13:$B$17,2,0)&amp;" "&amp;H33&amp;" ур.)"&amp;IF(I33="у","[/strike] (цена реорганизации: "&amp;H33*База!$I$2&amp;")","")&amp;IF(H33&lt;AR33," (цена апгрейда: "&amp;(AR33-H33)*База!$I$3&amp;")",""),"")&amp;AQ34</f>
        <v/>
      </c>
      <c r="AR33" s="135">
        <f t="shared" si="3"/>
        <v>0</v>
      </c>
      <c r="AS33" s="135">
        <f t="shared" si="4"/>
        <v>0</v>
      </c>
      <c r="AT33" s="135"/>
      <c r="AU33" s="135" t="str">
        <f>IF((J33&lt;&gt;""),"[br]"&amp;IF(M33="у","[strike]","")&amp;$A33&amp;". "&amp;J33&amp;" ("&amp;VLOOKUP(K33,База!$A$13:$B$17,2,0)&amp;" "&amp;L33&amp;" ур.)"&amp;IF(M33="у","[/strike] (цена реорганизации: "&amp;L33*База!$I$2&amp;")","")&amp;IF(L33&lt;AV33," (цена апгрейда: "&amp;(AV33-L33)*База!$I$3&amp;")",""),"")&amp;AU34</f>
        <v/>
      </c>
      <c r="AV33" s="135">
        <f t="shared" si="5"/>
        <v>0</v>
      </c>
      <c r="AW33" s="135">
        <f t="shared" si="6"/>
        <v>0</v>
      </c>
      <c r="AX33" s="135"/>
      <c r="AY33" s="135" t="str">
        <f>IF((N33&lt;&gt;""),"[br]"&amp;IF(Q33="у","[strike]","")&amp;$A33&amp;". "&amp;N33&amp;" ("&amp;VLOOKUP(O33,База!$A$13:$B$17,2,0)&amp;" "&amp;P33&amp;" ур.)"&amp;IF(Q33="у","[/strike] (цена реорганизации: "&amp;P33*База!$I$2&amp;")","")&amp;IF(P33&lt;AZ33," (цена апгрейда: "&amp;(AZ33-P33)*База!$I$3&amp;")",""),"")&amp;AY34</f>
        <v>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33" s="135">
        <f t="shared" si="17"/>
        <v>3</v>
      </c>
      <c r="BA33" s="135">
        <f t="shared" si="18"/>
        <v>0</v>
      </c>
      <c r="BB33" s="135"/>
      <c r="BC33" s="135" t="str">
        <f>IF((R33&lt;&gt;""),"[br]"&amp;IF(U33="у","[strike]","")&amp;$A33&amp;". "&amp;R33&amp;" ("&amp;VLOOKUP(S33,База!$A$13:$B$17,2,0)&amp;" "&amp;T33&amp;" ур.)"&amp;IF(U33="у","[/strike] (цена реорганизации: "&amp;T33*База!$I$2&amp;")","")&amp;IF(T33&lt;BD33," (цена апгрейда: "&amp;(BD33-T33)*База!$I$3&amp;")",""),"")&amp;BC34</f>
        <v>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3" s="135">
        <f t="shared" si="9"/>
        <v>4</v>
      </c>
      <c r="BE33" s="135">
        <f t="shared" si="10"/>
        <v>1</v>
      </c>
      <c r="BF33" s="135"/>
      <c r="BG33" s="135" t="str">
        <f>IF((V33&lt;&gt;""),"[br]"&amp;IF(Y33="у","[strike]","")&amp;$A33&amp;". "&amp;V33&amp;" ("&amp;VLOOKUP(W33,База!$A$13:$B$17,2,0)&amp;" "&amp;X33&amp;" ур.)"&amp;IF(Y33="у","[/strike] (цена реорганизации: "&amp;X33*База!$I$2&amp;")","")&amp;IF(X33&lt;BH33," (цена апгрейда: "&amp;(BH33-X33)*База!$I$3&amp;")",""),"")&amp;BG34</f>
        <v>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33" s="135">
        <f t="shared" si="11"/>
        <v>2</v>
      </c>
      <c r="BI33" s="135">
        <f t="shared" si="12"/>
        <v>0</v>
      </c>
      <c r="BJ33" s="135"/>
      <c r="BK33" s="135" t="str">
        <f>IF((Z33&lt;&gt;""),"[br]"&amp;IF(AC33="у","[strike]","")&amp;$A33&amp;". "&amp;Z33&amp;" ("&amp;VLOOKUP(AA33,База!$A$13:$B$17,2,0)&amp;" "&amp;AB33&amp;" ур.)"&amp;IF(AC33="у","[/strike] (цена реорганизации: "&amp;AB33*База!$I$2&amp;")","")&amp;IF(AB33&lt;BL33," (цена апгрейда: "&amp;(BL33-AB33)*База!$I$3&amp;")",""),"")&amp;BK34</f>
        <v/>
      </c>
      <c r="BL33" s="135">
        <f t="shared" si="13"/>
        <v>0</v>
      </c>
      <c r="BM33" s="135">
        <f t="shared" si="14"/>
        <v>0</v>
      </c>
      <c r="BN33" s="135"/>
      <c r="BO33" s="135" t="str">
        <f>IF((AD33&lt;&gt;""),"[br]"&amp;IF(AG33="у","[strike]","")&amp;$A33&amp;". "&amp;AD33&amp;" ("&amp;VLOOKUP(AE33,База!$A$13:$B$17,2,0)&amp;" "&amp;AF33&amp;" ур.)"&amp;IF(AG33="у","[/strike] (цена реорганизации: "&amp;AF33*База!$I$2&amp;")","")&amp;IF(AF33&lt;BP33," (цена апгрейда: "&amp;(BP33-AF33)*База!$I$3&amp;")",""),"")&amp;BO34</f>
        <v/>
      </c>
      <c r="BP33" s="135">
        <f t="shared" si="15"/>
        <v>0</v>
      </c>
      <c r="BQ33" s="135">
        <f t="shared" si="16"/>
        <v>0</v>
      </c>
    </row>
    <row r="34" spans="1:69" x14ac:dyDescent="0.25">
      <c r="A34">
        <v>31</v>
      </c>
      <c r="B34" s="63"/>
      <c r="C34" s="267"/>
      <c r="D34" s="267"/>
      <c r="E34" s="267"/>
      <c r="F34" s="48"/>
      <c r="G34" s="50"/>
      <c r="H34" s="50"/>
      <c r="I34" s="50"/>
      <c r="J34" s="66"/>
      <c r="K34" s="252"/>
      <c r="L34" s="252"/>
      <c r="M34" s="252"/>
      <c r="N34" s="58" t="s">
        <v>582</v>
      </c>
      <c r="O34" s="282" t="s">
        <v>154</v>
      </c>
      <c r="P34" s="282">
        <v>3</v>
      </c>
      <c r="Q34" s="261" t="s">
        <v>155</v>
      </c>
      <c r="R34" s="72" t="s">
        <v>534</v>
      </c>
      <c r="S34" s="289" t="s">
        <v>154</v>
      </c>
      <c r="T34" s="289">
        <v>4</v>
      </c>
      <c r="U34" s="289" t="s">
        <v>155</v>
      </c>
      <c r="V34" s="69" t="s">
        <v>489</v>
      </c>
      <c r="W34" s="288" t="s">
        <v>154</v>
      </c>
      <c r="X34" s="288">
        <v>4</v>
      </c>
      <c r="Y34" s="288" t="s">
        <v>155</v>
      </c>
      <c r="Z34" s="26"/>
      <c r="AA34" s="279"/>
      <c r="AB34" s="279"/>
      <c r="AC34" s="279"/>
      <c r="AD34" s="53"/>
      <c r="AE34" s="55"/>
      <c r="AF34" s="55"/>
      <c r="AG34" s="55"/>
      <c r="AI34" s="72"/>
      <c r="AJ34" s="289"/>
      <c r="AK34" s="289"/>
      <c r="AL34" s="289"/>
      <c r="AM34" s="135" t="str">
        <f>IF((B34&lt;&gt;""),"[br]"&amp;IF(E34="у","[strike]","")&amp;$A34&amp;". "&amp;B34&amp;" ("&amp;VLOOKUP(C34,База!$A$13:$B$17,2,0)&amp;" "&amp;D34&amp;" ур.)"&amp;IF(E34="у","[/strike] (цена реорганизации: "&amp;D34*База!$I$2&amp;")","")&amp;IF(D34&lt;AN34," (цена апгрейда: "&amp;(AN34-D34)*База!$I$3&amp;")",""),"")&amp;AM35</f>
        <v/>
      </c>
      <c r="AN34" s="135">
        <f t="shared" si="1"/>
        <v>0</v>
      </c>
      <c r="AO34" s="135">
        <f t="shared" si="2"/>
        <v>0</v>
      </c>
      <c r="AP34" s="135"/>
      <c r="AQ34" s="135" t="str">
        <f>IF((F34&lt;&gt;""),"[br]"&amp;IF(I34="у","[strike]","")&amp;$A34&amp;". "&amp;F34&amp;" ("&amp;VLOOKUP(G34,База!$A$13:$B$17,2,0)&amp;" "&amp;H34&amp;" ур.)"&amp;IF(I34="у","[/strike] (цена реорганизации: "&amp;H34*База!$I$2&amp;")","")&amp;IF(H34&lt;AR34," (цена апгрейда: "&amp;(AR34-H34)*База!$I$3&amp;")",""),"")&amp;AQ35</f>
        <v/>
      </c>
      <c r="AR34" s="135">
        <f t="shared" si="3"/>
        <v>0</v>
      </c>
      <c r="AS34" s="135">
        <f t="shared" si="4"/>
        <v>0</v>
      </c>
      <c r="AT34" s="135"/>
      <c r="AU34" s="135" t="str">
        <f>IF((J34&lt;&gt;""),"[br]"&amp;IF(M34="у","[strike]","")&amp;$A34&amp;". "&amp;J34&amp;" ("&amp;VLOOKUP(K34,База!$A$13:$B$17,2,0)&amp;" "&amp;L34&amp;" ур.)"&amp;IF(M34="у","[/strike] (цена реорганизации: "&amp;L34*База!$I$2&amp;")","")&amp;IF(L34&lt;AV34," (цена апгрейда: "&amp;(AV34-L34)*База!$I$3&amp;")",""),"")&amp;AU35</f>
        <v/>
      </c>
      <c r="AV34" s="135">
        <f t="shared" si="5"/>
        <v>0</v>
      </c>
      <c r="AW34" s="135">
        <f t="shared" si="6"/>
        <v>0</v>
      </c>
      <c r="AX34" s="135"/>
      <c r="AY34" s="135" t="str">
        <f>IF((N34&lt;&gt;""),"[br]"&amp;IF(Q34="у","[strike]","")&amp;$A34&amp;". "&amp;N34&amp;" ("&amp;VLOOKUP(O34,База!$A$13:$B$17,2,0)&amp;" "&amp;P34&amp;" ур.)"&amp;IF(Q34="у","[/strike] (цена реорганизации: "&amp;P34*База!$I$2&amp;")","")&amp;IF(P34&lt;AZ34," (цена апгрейда: "&amp;(AZ34-P34)*База!$I$3&amp;")",""),"")&amp;AY35</f>
        <v>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AZ34" s="135">
        <f t="shared" si="17"/>
        <v>3</v>
      </c>
      <c r="BA34" s="135">
        <f t="shared" si="18"/>
        <v>0</v>
      </c>
      <c r="BB34" s="135"/>
      <c r="BC34" s="135" t="str">
        <f>IF((R34&lt;&gt;""),"[br]"&amp;IF(U34="у","[strike]","")&amp;$A34&amp;". "&amp;R34&amp;" ("&amp;VLOOKUP(S34,База!$A$13:$B$17,2,0)&amp;" "&amp;T34&amp;" ур.)"&amp;IF(U34="у","[/strike] (цена реорганизации: "&amp;T34*База!$I$2&amp;")","")&amp;IF(T34&lt;BD34," (цена апгрейда: "&amp;(BD34-T34)*База!$I$3&amp;")",""),"")&amp;BC35</f>
        <v>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4" s="135">
        <f t="shared" si="9"/>
        <v>4</v>
      </c>
      <c r="BE34" s="135">
        <f t="shared" si="10"/>
        <v>0</v>
      </c>
      <c r="BF34" s="135"/>
      <c r="BG34" s="135" t="str">
        <f>IF((V34&lt;&gt;""),"[br]"&amp;IF(Y34="у","[strike]","")&amp;$A34&amp;". "&amp;V34&amp;" ("&amp;VLOOKUP(W34,База!$A$13:$B$17,2,0)&amp;" "&amp;X34&amp;" ур.)"&amp;IF(Y34="у","[/strike] (цена реорганизации: "&amp;X34*База!$I$2&amp;")","")&amp;IF(X34&lt;BH34," (цена апгрейда: "&amp;(BH34-X34)*База!$I$3&amp;")",""),"")&amp;BG35</f>
        <v>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34" s="135">
        <f t="shared" si="11"/>
        <v>4</v>
      </c>
      <c r="BI34" s="135">
        <f t="shared" si="12"/>
        <v>0</v>
      </c>
      <c r="BJ34" s="135"/>
      <c r="BK34" s="135" t="str">
        <f>IF((Z34&lt;&gt;""),"[br]"&amp;IF(AC34="у","[strike]","")&amp;$A34&amp;". "&amp;Z34&amp;" ("&amp;VLOOKUP(AA34,База!$A$13:$B$17,2,0)&amp;" "&amp;AB34&amp;" ур.)"&amp;IF(AC34="у","[/strike] (цена реорганизации: "&amp;AB34*База!$I$2&amp;")","")&amp;IF(AB34&lt;BL34," (цена апгрейда: "&amp;(BL34-AB34)*База!$I$3&amp;")",""),"")&amp;BK35</f>
        <v/>
      </c>
      <c r="BL34" s="135">
        <f t="shared" si="13"/>
        <v>0</v>
      </c>
      <c r="BM34" s="135">
        <f t="shared" si="14"/>
        <v>0</v>
      </c>
      <c r="BN34" s="135"/>
      <c r="BO34" s="135" t="str">
        <f>IF((AD34&lt;&gt;""),"[br]"&amp;IF(AG34="у","[strike]","")&amp;$A34&amp;". "&amp;AD34&amp;" ("&amp;VLOOKUP(AE34,База!$A$13:$B$17,2,0)&amp;" "&amp;AF34&amp;" ур.)"&amp;IF(AG34="у","[/strike] (цена реорганизации: "&amp;AF34*База!$I$2&amp;")","")&amp;IF(AF34&lt;BP34," (цена апгрейда: "&amp;(BP34-AF34)*База!$I$3&amp;")",""),"")&amp;BO35</f>
        <v/>
      </c>
      <c r="BP34" s="135">
        <f t="shared" si="15"/>
        <v>0</v>
      </c>
      <c r="BQ34" s="135">
        <f t="shared" si="16"/>
        <v>0</v>
      </c>
    </row>
    <row r="35" spans="1:69" x14ac:dyDescent="0.25">
      <c r="A35">
        <v>32</v>
      </c>
      <c r="B35" s="63"/>
      <c r="C35" s="267"/>
      <c r="D35" s="267"/>
      <c r="E35" s="267"/>
      <c r="F35" s="48"/>
      <c r="G35" s="50"/>
      <c r="H35" s="50"/>
      <c r="I35" s="50"/>
      <c r="J35" s="66"/>
      <c r="K35" s="68"/>
      <c r="L35" s="68"/>
      <c r="M35" s="68"/>
      <c r="N35" s="58" t="s">
        <v>592</v>
      </c>
      <c r="O35" s="287" t="s">
        <v>154</v>
      </c>
      <c r="P35" s="287">
        <v>3</v>
      </c>
      <c r="Q35" s="287" t="s">
        <v>155</v>
      </c>
      <c r="R35" s="72" t="s">
        <v>359</v>
      </c>
      <c r="S35" s="289" t="s">
        <v>158</v>
      </c>
      <c r="T35" s="289">
        <v>1</v>
      </c>
      <c r="U35" s="289" t="s">
        <v>155</v>
      </c>
      <c r="V35" s="69" t="s">
        <v>132</v>
      </c>
      <c r="W35" s="288" t="s">
        <v>153</v>
      </c>
      <c r="X35" s="288">
        <v>1</v>
      </c>
      <c r="Y35" s="288" t="s">
        <v>155</v>
      </c>
      <c r="Z35" s="26"/>
      <c r="AA35" s="279"/>
      <c r="AB35" s="279"/>
      <c r="AC35" s="279"/>
      <c r="AD35" s="53"/>
      <c r="AE35" s="55"/>
      <c r="AF35" s="55"/>
      <c r="AG35" s="55"/>
      <c r="AI35" s="72"/>
      <c r="AJ35" s="289"/>
      <c r="AK35" s="289"/>
      <c r="AL35" s="289"/>
      <c r="AM35" s="135" t="str">
        <f>IF((B35&lt;&gt;""),"[br]"&amp;IF(E35="у","[strike]","")&amp;$A35&amp;". "&amp;B35&amp;" ("&amp;VLOOKUP(C35,База!$A$13:$B$17,2,0)&amp;" "&amp;D35&amp;" ур.)"&amp;IF(E35="у","[/strike] (цена реорганизации: "&amp;D35*База!$I$2&amp;")","")&amp;IF(D35&lt;AN35," (цена апгрейда: "&amp;(AN35-D35)*База!$I$3&amp;")",""),"")&amp;AM36</f>
        <v/>
      </c>
      <c r="AN35" s="135">
        <f t="shared" si="1"/>
        <v>0</v>
      </c>
      <c r="AO35" s="135">
        <f t="shared" si="2"/>
        <v>0</v>
      </c>
      <c r="AP35" s="135"/>
      <c r="AQ35" s="135" t="str">
        <f>IF((F35&lt;&gt;""),"[br]"&amp;IF(I35="у","[strike]","")&amp;$A35&amp;". "&amp;F35&amp;" ("&amp;VLOOKUP(G35,База!$A$13:$B$17,2,0)&amp;" "&amp;H35&amp;" ур.)"&amp;IF(I35="у","[/strike] (цена реорганизации: "&amp;H35*База!$I$2&amp;")","")&amp;IF(H35&lt;AR35," (цена апгрейда: "&amp;(AR35-H35)*База!$I$3&amp;")",""),"")&amp;AQ36</f>
        <v/>
      </c>
      <c r="AR35" s="135">
        <f t="shared" si="3"/>
        <v>0</v>
      </c>
      <c r="AS35" s="135">
        <f t="shared" si="4"/>
        <v>0</v>
      </c>
      <c r="AT35" s="135"/>
      <c r="AU35" s="135" t="str">
        <f>IF((J35&lt;&gt;""),"[br]"&amp;IF(M35="у","[strike]","")&amp;$A35&amp;". "&amp;J35&amp;" ("&amp;VLOOKUP(K35,База!$A$13:$B$17,2,0)&amp;" "&amp;L35&amp;" ур.)"&amp;IF(M35="у","[/strike] (цена реорганизации: "&amp;L35*База!$I$2&amp;")","")&amp;IF(L35&lt;AV35," (цена апгрейда: "&amp;(AV35-L35)*База!$I$3&amp;")",""),"")&amp;AU36</f>
        <v/>
      </c>
      <c r="AV35" s="135">
        <f t="shared" si="5"/>
        <v>0</v>
      </c>
      <c r="AW35" s="135">
        <f t="shared" si="6"/>
        <v>0</v>
      </c>
      <c r="AX35" s="135"/>
      <c r="AY35" s="135" t="str">
        <f>IF((N35&lt;&gt;""),"[br]"&amp;IF(Q35="у","[strike]","")&amp;$A35&amp;". "&amp;N35&amp;" ("&amp;VLOOKUP(O35,База!$A$13:$B$17,2,0)&amp;" "&amp;P35&amp;" ур.)"&amp;IF(Q35="у","[/strike] (цена реорганизации: "&amp;P35*База!$I$2&amp;")","")&amp;IF(P35&lt;AZ35," (цена апгрейда: "&amp;(AZ35-P35)*База!$I$3&amp;")",""),"")&amp;AY36</f>
        <v>[br][strike]32. 17е бипланы (авиация 3 ур.)[/strike] (цена реорганизации: 6)[br][strike]33. 18е бипланы (авиация 3 ур.)[/strike] (цена реорганизации: 6)</v>
      </c>
      <c r="AZ35" s="135">
        <f t="shared" si="17"/>
        <v>3</v>
      </c>
      <c r="BA35" s="135">
        <f t="shared" si="18"/>
        <v>0</v>
      </c>
      <c r="BB35" s="135"/>
      <c r="BC35" s="135" t="str">
        <f>IF((R35&lt;&gt;""),"[br]"&amp;IF(U35="у","[strike]","")&amp;$A35&amp;". "&amp;R35&amp;" ("&amp;VLOOKUP(S35,База!$A$13:$B$17,2,0)&amp;" "&amp;T35&amp;" ур.)"&amp;IF(U35="у","[/strike] (цена реорганизации: "&amp;T35*База!$I$2&amp;")","")&amp;IF(T35&lt;BD35," (цена апгрейда: "&amp;(BD35-T35)*База!$I$3&amp;")",""),"")&amp;BC36</f>
        <v>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5" s="135">
        <f t="shared" si="9"/>
        <v>4</v>
      </c>
      <c r="BE35" s="135">
        <f t="shared" si="10"/>
        <v>1</v>
      </c>
      <c r="BF35" s="135"/>
      <c r="BG35" s="135" t="str">
        <f>IF((V35&lt;&gt;""),"[br]"&amp;IF(Y35="у","[strike]","")&amp;$A35&amp;". "&amp;V35&amp;" ("&amp;VLOOKUP(W35,База!$A$13:$B$17,2,0)&amp;" "&amp;X35&amp;" ур.)"&amp;IF(Y35="у","[/strike] (цена реорганизации: "&amp;X35*База!$I$2&amp;")","")&amp;IF(X35&lt;BH35," (цена апгрейда: "&amp;(BH35-X35)*База!$I$3&amp;")",""),"")&amp;BG36</f>
        <v>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BH35" s="135">
        <f t="shared" si="11"/>
        <v>1</v>
      </c>
      <c r="BI35" s="135">
        <f t="shared" si="12"/>
        <v>0</v>
      </c>
      <c r="BJ35" s="135"/>
      <c r="BK35" s="135" t="str">
        <f>IF((Z35&lt;&gt;""),"[br]"&amp;IF(AC35="у","[strike]","")&amp;$A35&amp;". "&amp;Z35&amp;" ("&amp;VLOOKUP(AA35,База!$A$13:$B$17,2,0)&amp;" "&amp;AB35&amp;" ур.)"&amp;IF(AC35="у","[/strike] (цена реорганизации: "&amp;AB35*База!$I$2&amp;")","")&amp;IF(AB35&lt;BL35," (цена апгрейда: "&amp;(BL35-AB35)*База!$I$3&amp;")",""),"")&amp;BK36</f>
        <v/>
      </c>
      <c r="BL35" s="135">
        <f t="shared" si="13"/>
        <v>0</v>
      </c>
      <c r="BM35" s="135">
        <f t="shared" si="14"/>
        <v>0</v>
      </c>
      <c r="BN35" s="135"/>
      <c r="BO35" s="135" t="str">
        <f>IF((AD35&lt;&gt;""),"[br]"&amp;IF(AG35="у","[strike]","")&amp;$A35&amp;". "&amp;AD35&amp;" ("&amp;VLOOKUP(AE35,База!$A$13:$B$17,2,0)&amp;" "&amp;AF35&amp;" ур.)"&amp;IF(AG35="у","[/strike] (цена реорганизации: "&amp;AF35*База!$I$2&amp;")","")&amp;IF(AF35&lt;BP35," (цена апгрейда: "&amp;(BP35-AF35)*База!$I$3&amp;")",""),"")&amp;BO36</f>
        <v/>
      </c>
      <c r="BP35" s="135">
        <f t="shared" si="15"/>
        <v>0</v>
      </c>
      <c r="BQ35" s="135">
        <f t="shared" si="16"/>
        <v>0</v>
      </c>
    </row>
    <row r="36" spans="1:69" x14ac:dyDescent="0.25">
      <c r="A36">
        <v>33</v>
      </c>
      <c r="B36" s="63"/>
      <c r="C36" s="267"/>
      <c r="D36" s="267"/>
      <c r="E36" s="267"/>
      <c r="F36" s="48"/>
      <c r="G36" s="50"/>
      <c r="H36" s="50"/>
      <c r="I36" s="50"/>
      <c r="J36" s="66"/>
      <c r="K36" s="68"/>
      <c r="L36" s="68"/>
      <c r="M36" s="68"/>
      <c r="N36" s="58" t="s">
        <v>593</v>
      </c>
      <c r="O36" s="287" t="s">
        <v>154</v>
      </c>
      <c r="P36" s="287">
        <v>3</v>
      </c>
      <c r="Q36" s="287" t="s">
        <v>155</v>
      </c>
      <c r="R36" s="72" t="s">
        <v>352</v>
      </c>
      <c r="S36" s="289" t="s">
        <v>153</v>
      </c>
      <c r="T36" s="289">
        <v>1</v>
      </c>
      <c r="U36" s="289" t="s">
        <v>155</v>
      </c>
      <c r="V36" s="69" t="s">
        <v>515</v>
      </c>
      <c r="W36" s="288" t="s">
        <v>158</v>
      </c>
      <c r="X36" s="288">
        <v>2</v>
      </c>
      <c r="Y36" s="288" t="s">
        <v>155</v>
      </c>
      <c r="Z36" s="26"/>
      <c r="AA36" s="279"/>
      <c r="AB36" s="279"/>
      <c r="AC36" s="279"/>
      <c r="AD36" s="53"/>
      <c r="AE36" s="55"/>
      <c r="AF36" s="55"/>
      <c r="AG36" s="55"/>
      <c r="AI36" s="72"/>
      <c r="AJ36" s="289"/>
      <c r="AK36" s="289"/>
      <c r="AL36" s="289"/>
      <c r="AM36" s="135" t="str">
        <f>IF((B36&lt;&gt;""),"[br]"&amp;IF(E36="у","[strike]","")&amp;$A36&amp;". "&amp;B36&amp;" ("&amp;VLOOKUP(C36,База!$A$13:$B$17,2,0)&amp;" "&amp;D36&amp;" ур.)"&amp;IF(E36="у","[/strike] (цена реорганизации: "&amp;D36*База!$I$2&amp;")","")&amp;IF(D36&lt;AN36," (цена апгрейда: "&amp;(AN36-D36)*База!$I$3&amp;")",""),"")&amp;AM37</f>
        <v/>
      </c>
      <c r="AN36" s="135">
        <f t="shared" ref="AN36:AN53" si="19">IF(B36&lt;&gt;"",VLOOKUP(C36,C$55:D$59,2,0),0)</f>
        <v>0</v>
      </c>
      <c r="AO36" s="135">
        <f t="shared" ref="AO36:AO53" si="20">1*(D36&lt;AN36)</f>
        <v>0</v>
      </c>
      <c r="AP36" s="135"/>
      <c r="AQ36" s="135" t="str">
        <f>IF((F36&lt;&gt;""),"[br]"&amp;IF(I36="у","[strike]","")&amp;$A36&amp;". "&amp;F36&amp;" ("&amp;VLOOKUP(G36,База!$A$13:$B$17,2,0)&amp;" "&amp;H36&amp;" ур.)"&amp;IF(I36="у","[/strike] (цена реорганизации: "&amp;H36*База!$I$2&amp;")","")&amp;IF(H36&lt;AR36," (цена апгрейда: "&amp;(AR36-H36)*База!$I$3&amp;")",""),"")&amp;AQ37</f>
        <v/>
      </c>
      <c r="AR36" s="135">
        <f t="shared" ref="AR36:AR53" si="21">IF(F36&lt;&gt;"",VLOOKUP(G36,G$55:H$59,2,0),0)</f>
        <v>0</v>
      </c>
      <c r="AS36" s="135">
        <f t="shared" ref="AS36:AS53" si="22">1*(H36&lt;AR36)</f>
        <v>0</v>
      </c>
      <c r="AT36" s="135"/>
      <c r="AU36" s="135" t="str">
        <f>IF((J36&lt;&gt;""),"[br]"&amp;IF(M36="у","[strike]","")&amp;$A36&amp;". "&amp;J36&amp;" ("&amp;VLOOKUP(K36,База!$A$13:$B$17,2,0)&amp;" "&amp;L36&amp;" ур.)"&amp;IF(M36="у","[/strike] (цена реорганизации: "&amp;L36*База!$I$2&amp;")","")&amp;IF(L36&lt;AV36," (цена апгрейда: "&amp;(AV36-L36)*База!$I$3&amp;")",""),"")&amp;AU37</f>
        <v/>
      </c>
      <c r="AV36" s="135">
        <f t="shared" ref="AV36:AV53" si="23">IF(J36&lt;&gt;"",VLOOKUP(K36,K$55:L$59,2,0),0)</f>
        <v>0</v>
      </c>
      <c r="AW36" s="135">
        <f t="shared" ref="AW36:AW53" si="24">1*(L36&lt;AV36)</f>
        <v>0</v>
      </c>
      <c r="AX36" s="135"/>
      <c r="AY36" s="135" t="str">
        <f>IF((N36&lt;&gt;""),"[br]"&amp;IF(Q36="у","[strike]","")&amp;$A36&amp;". "&amp;N36&amp;" ("&amp;VLOOKUP(O36,База!$A$13:$B$17,2,0)&amp;" "&amp;P36&amp;" ур.)"&amp;IF(Q36="у","[/strike] (цена реорганизации: "&amp;P36*База!$I$2&amp;")","")&amp;IF(P36&lt;AZ36," (цена апгрейда: "&amp;(AZ36-P36)*База!$I$3&amp;")",""),"")&amp;AY37</f>
        <v>[br][strike]33. 18е бипланы (авиация 3 ур.)[/strike] (цена реорганизации: 6)</v>
      </c>
      <c r="AZ36" s="135">
        <f t="shared" ref="AZ36:AZ53" si="25">IF(N36&lt;&gt;"",VLOOKUP(O36,O$55:P$59,2,0),0)</f>
        <v>3</v>
      </c>
      <c r="BA36" s="135">
        <f t="shared" ref="BA36:BA53" si="26">1*(P36&lt;AZ36)</f>
        <v>0</v>
      </c>
      <c r="BB36" s="135"/>
      <c r="BC36" s="135" t="str">
        <f>IF((R36&lt;&gt;""),"[br]"&amp;IF(U36="у","[strike]","")&amp;$A36&amp;". "&amp;R36&amp;" ("&amp;VLOOKUP(S36,База!$A$13:$B$17,2,0)&amp;" "&amp;T36&amp;" ур.)"&amp;IF(U36="у","[/strike] (цена реорганизации: "&amp;T36*База!$I$2&amp;")","")&amp;IF(T36&lt;BD36," (цена апгрейда: "&amp;(BD36-T36)*База!$I$3&amp;")",""),"")&amp;BC37</f>
        <v>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6" s="135">
        <f t="shared" ref="BD36:BD53" si="27">IF(R36&lt;&gt;"",VLOOKUP(S36,S$55:T$59,2,0),0)</f>
        <v>3</v>
      </c>
      <c r="BE36" s="135">
        <f t="shared" ref="BE36:BE53" si="28">1*(T36&lt;BD36)</f>
        <v>1</v>
      </c>
      <c r="BF36" s="135"/>
      <c r="BG36" s="135" t="str">
        <f>IF((V36&lt;&gt;""),"[br]"&amp;IF(Y36="у","[strike]","")&amp;$A36&amp;". "&amp;V36&amp;" ("&amp;VLOOKUP(W36,База!$A$13:$B$17,2,0)&amp;" "&amp;X36&amp;" ур.)"&amp;IF(Y36="у","[/strike] (цена реорганизации: "&amp;X36*База!$I$2&amp;")","")&amp;IF(X36&lt;BH36," (цена апгрейда: "&amp;(BH36-X36)*База!$I$3&amp;")",""),"")&amp;BG37</f>
        <v>[br][strike]33. 3и арбалетчики (поддержка 2 ур.)[/strike] (цена реорганизации: 4) (цена апгрейда: 8)</v>
      </c>
      <c r="BH36" s="135">
        <f t="shared" ref="BH36:BH53" si="29">IF(V36&lt;&gt;"",VLOOKUP(W36,W$55:X$59,2,0),0)</f>
        <v>4</v>
      </c>
      <c r="BI36" s="135">
        <f t="shared" ref="BI36:BI53" si="30">1*(X36&lt;BH36)</f>
        <v>1</v>
      </c>
      <c r="BJ36" s="135"/>
      <c r="BK36" s="135" t="str">
        <f>IF((Z36&lt;&gt;""),"[br]"&amp;IF(AC36="у","[strike]","")&amp;$A36&amp;". "&amp;Z36&amp;" ("&amp;VLOOKUP(AA36,База!$A$13:$B$17,2,0)&amp;" "&amp;AB36&amp;" ур.)"&amp;IF(AC36="у","[/strike] (цена реорганизации: "&amp;AB36*База!$I$2&amp;")","")&amp;IF(AB36&lt;BL36," (цена апгрейда: "&amp;(BL36-AB36)*База!$I$3&amp;")",""),"")&amp;BK37</f>
        <v/>
      </c>
      <c r="BL36" s="135">
        <f t="shared" ref="BL36:BL53" si="31">IF(Z36&lt;&gt;"",VLOOKUP(AA36,AA$55:AB$59,2,0),0)</f>
        <v>0</v>
      </c>
      <c r="BM36" s="135">
        <f t="shared" ref="BM36:BM53" si="32">1*(AB36&lt;BL36)</f>
        <v>0</v>
      </c>
      <c r="BN36" s="135"/>
      <c r="BO36" s="135" t="str">
        <f>IF((AD36&lt;&gt;""),"[br]"&amp;IF(AG36="у","[strike]","")&amp;$A36&amp;". "&amp;AD36&amp;" ("&amp;VLOOKUP(AE36,База!$A$13:$B$17,2,0)&amp;" "&amp;AF36&amp;" ур.)"&amp;IF(AG36="у","[/strike] (цена реорганизации: "&amp;AF36*База!$I$2&amp;")","")&amp;IF(AF36&lt;BP36," (цена апгрейда: "&amp;(BP36-AF36)*База!$I$3&amp;")",""),"")&amp;BO37</f>
        <v/>
      </c>
      <c r="BP36" s="135">
        <f t="shared" ref="BP36:BP53" si="33">IF(AD36&lt;&gt;"",VLOOKUP(AE36,AE$55:AF$59,2,0),0)</f>
        <v>0</v>
      </c>
      <c r="BQ36" s="135">
        <f t="shared" ref="BQ36:BQ53" si="34">1*(AF36&lt;BP36)</f>
        <v>0</v>
      </c>
    </row>
    <row r="37" spans="1:69" x14ac:dyDescent="0.25">
      <c r="A37">
        <v>34</v>
      </c>
      <c r="B37" s="63"/>
      <c r="C37" s="267"/>
      <c r="D37" s="267"/>
      <c r="E37" s="267"/>
      <c r="F37" s="48"/>
      <c r="G37" s="50"/>
      <c r="H37" s="50"/>
      <c r="I37" s="50"/>
      <c r="J37" s="66"/>
      <c r="K37" s="68"/>
      <c r="L37" s="68"/>
      <c r="M37" s="68"/>
      <c r="N37" s="58"/>
      <c r="O37" s="261"/>
      <c r="P37" s="261"/>
      <c r="Q37" s="261"/>
      <c r="R37" s="72" t="s">
        <v>451</v>
      </c>
      <c r="S37" s="289" t="s">
        <v>158</v>
      </c>
      <c r="T37" s="289">
        <v>1</v>
      </c>
      <c r="U37" s="289" t="s">
        <v>155</v>
      </c>
      <c r="V37" s="69"/>
      <c r="W37" s="285"/>
      <c r="X37" s="285"/>
      <c r="Y37" s="283"/>
      <c r="Z37" s="26"/>
      <c r="AA37" s="279"/>
      <c r="AB37" s="279"/>
      <c r="AC37" s="279"/>
      <c r="AD37" s="53"/>
      <c r="AE37" s="55"/>
      <c r="AF37" s="55"/>
      <c r="AG37" s="55"/>
      <c r="AI37" s="72"/>
      <c r="AJ37" s="289"/>
      <c r="AK37" s="289"/>
      <c r="AL37" s="289"/>
      <c r="AM37" s="135" t="str">
        <f>IF((B37&lt;&gt;""),"[br]"&amp;IF(E37="у","[strike]","")&amp;$A37&amp;". "&amp;B37&amp;" ("&amp;VLOOKUP(C37,База!$A$13:$B$17,2,0)&amp;" "&amp;D37&amp;" ур.)"&amp;IF(E37="у","[/strike] (цена реорганизации: "&amp;D37*База!$I$2&amp;")","")&amp;IF(D37&lt;AN37," (цена апгрейда: "&amp;(AN37-D37)*База!$I$3&amp;")",""),"")&amp;AM38</f>
        <v/>
      </c>
      <c r="AN37" s="135">
        <f t="shared" si="19"/>
        <v>0</v>
      </c>
      <c r="AO37" s="135">
        <f t="shared" si="20"/>
        <v>0</v>
      </c>
      <c r="AP37" s="135"/>
      <c r="AQ37" s="135" t="str">
        <f>IF((F37&lt;&gt;""),"[br]"&amp;IF(I37="у","[strike]","")&amp;$A37&amp;". "&amp;F37&amp;" ("&amp;VLOOKUP(G37,База!$A$13:$B$17,2,0)&amp;" "&amp;H37&amp;" ур.)"&amp;IF(I37="у","[/strike] (цена реорганизации: "&amp;H37*База!$I$2&amp;")","")&amp;IF(H37&lt;AR37," (цена апгрейда: "&amp;(AR37-H37)*База!$I$3&amp;")",""),"")&amp;AQ38</f>
        <v/>
      </c>
      <c r="AR37" s="135">
        <f t="shared" si="21"/>
        <v>0</v>
      </c>
      <c r="AS37" s="135">
        <f t="shared" si="22"/>
        <v>0</v>
      </c>
      <c r="AT37" s="135"/>
      <c r="AU37" s="135" t="str">
        <f>IF((J37&lt;&gt;""),"[br]"&amp;IF(M37="у","[strike]","")&amp;$A37&amp;". "&amp;J37&amp;" ("&amp;VLOOKUP(K37,База!$A$13:$B$17,2,0)&amp;" "&amp;L37&amp;" ур.)"&amp;IF(M37="у","[/strike] (цена реорганизации: "&amp;L37*База!$I$2&amp;")","")&amp;IF(L37&lt;AV37," (цена апгрейда: "&amp;(AV37-L37)*База!$I$3&amp;")",""),"")&amp;AU38</f>
        <v/>
      </c>
      <c r="AV37" s="135">
        <f t="shared" si="23"/>
        <v>0</v>
      </c>
      <c r="AW37" s="135">
        <f t="shared" si="24"/>
        <v>0</v>
      </c>
      <c r="AX37" s="135"/>
      <c r="AY37" s="135" t="str">
        <f>IF((N37&lt;&gt;""),"[br]"&amp;IF(Q37="у","[strike]","")&amp;$A37&amp;". "&amp;N37&amp;" ("&amp;VLOOKUP(O37,База!$A$13:$B$17,2,0)&amp;" "&amp;P37&amp;" ур.)"&amp;IF(Q37="у","[/strike] (цена реорганизации: "&amp;P37*База!$I$2&amp;")","")&amp;IF(P37&lt;AZ37," (цена апгрейда: "&amp;(AZ37-P37)*База!$I$3&amp;")",""),"")&amp;AY38</f>
        <v/>
      </c>
      <c r="AZ37" s="135">
        <f t="shared" si="25"/>
        <v>0</v>
      </c>
      <c r="BA37" s="135">
        <f t="shared" si="26"/>
        <v>0</v>
      </c>
      <c r="BB37" s="135"/>
      <c r="BC37" s="135" t="str">
        <f>IF((R37&lt;&gt;""),"[br]"&amp;IF(U37="у","[strike]","")&amp;$A37&amp;". "&amp;R37&amp;" ("&amp;VLOOKUP(S37,База!$A$13:$B$17,2,0)&amp;" "&amp;T37&amp;" ур.)"&amp;IF(U37="у","[/strike] (цена реорганизации: "&amp;T37*База!$I$2&amp;")","")&amp;IF(T37&lt;BD37," (цена апгрейда: "&amp;(BD37-T37)*База!$I$3&amp;")",""),"")&amp;BC38</f>
        <v>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7" s="135">
        <f t="shared" si="27"/>
        <v>4</v>
      </c>
      <c r="BE37" s="135">
        <f t="shared" si="28"/>
        <v>1</v>
      </c>
      <c r="BF37" s="135"/>
      <c r="BG37" s="135" t="str">
        <f>IF((V37&lt;&gt;""),"[br]"&amp;IF(Y37="у","[strike]","")&amp;$A37&amp;". "&amp;V37&amp;" ("&amp;VLOOKUP(W37,База!$A$13:$B$17,2,0)&amp;" "&amp;X37&amp;" ур.)"&amp;IF(Y37="у","[/strike] (цена реорганизации: "&amp;X37*База!$I$2&amp;")","")&amp;IF(X37&lt;BH37," (цена апгрейда: "&amp;(BH37-X37)*База!$I$3&amp;")",""),"")&amp;BG38</f>
        <v/>
      </c>
      <c r="BH37" s="135">
        <f t="shared" si="29"/>
        <v>0</v>
      </c>
      <c r="BI37" s="135">
        <f t="shared" si="30"/>
        <v>0</v>
      </c>
      <c r="BJ37" s="135"/>
      <c r="BK37" s="135" t="str">
        <f>IF((Z37&lt;&gt;""),"[br]"&amp;IF(AC37="у","[strike]","")&amp;$A37&amp;". "&amp;Z37&amp;" ("&amp;VLOOKUP(AA37,База!$A$13:$B$17,2,0)&amp;" "&amp;AB37&amp;" ур.)"&amp;IF(AC37="у","[/strike] (цена реорганизации: "&amp;AB37*База!$I$2&amp;")","")&amp;IF(AB37&lt;BL37," (цена апгрейда: "&amp;(BL37-AB37)*База!$I$3&amp;")",""),"")&amp;BK38</f>
        <v/>
      </c>
      <c r="BL37" s="135">
        <f t="shared" si="31"/>
        <v>0</v>
      </c>
      <c r="BM37" s="135">
        <f t="shared" si="32"/>
        <v>0</v>
      </c>
      <c r="BN37" s="135"/>
      <c r="BO37" s="135" t="str">
        <f>IF((AD37&lt;&gt;""),"[br]"&amp;IF(AG37="у","[strike]","")&amp;$A37&amp;". "&amp;AD37&amp;" ("&amp;VLOOKUP(AE37,База!$A$13:$B$17,2,0)&amp;" "&amp;AF37&amp;" ур.)"&amp;IF(AG37="у","[/strike] (цена реорганизации: "&amp;AF37*База!$I$2&amp;")","")&amp;IF(AF37&lt;BP37," (цена апгрейда: "&amp;(BP37-AF37)*База!$I$3&amp;")",""),"")&amp;BO38</f>
        <v/>
      </c>
      <c r="BP37" s="135">
        <f t="shared" si="33"/>
        <v>0</v>
      </c>
      <c r="BQ37" s="135">
        <f t="shared" si="34"/>
        <v>0</v>
      </c>
    </row>
    <row r="38" spans="1:69" x14ac:dyDescent="0.25">
      <c r="A38">
        <v>35</v>
      </c>
      <c r="B38" s="63"/>
      <c r="C38" s="267"/>
      <c r="D38" s="267"/>
      <c r="E38" s="267"/>
      <c r="F38" s="48"/>
      <c r="G38" s="50"/>
      <c r="H38" s="50"/>
      <c r="I38" s="50"/>
      <c r="J38" s="66"/>
      <c r="K38" s="68"/>
      <c r="L38" s="68"/>
      <c r="M38" s="68"/>
      <c r="N38" s="58"/>
      <c r="O38" s="261"/>
      <c r="P38" s="261"/>
      <c r="Q38" s="261"/>
      <c r="R38" s="72" t="s">
        <v>594</v>
      </c>
      <c r="S38" s="289" t="s">
        <v>158</v>
      </c>
      <c r="T38" s="289">
        <v>4</v>
      </c>
      <c r="U38" s="289" t="s">
        <v>155</v>
      </c>
      <c r="V38" s="69"/>
      <c r="W38" s="285"/>
      <c r="X38" s="285"/>
      <c r="Y38" s="283"/>
      <c r="Z38" s="26"/>
      <c r="AA38" s="279"/>
      <c r="AB38" s="279"/>
      <c r="AC38" s="279"/>
      <c r="AD38" s="53"/>
      <c r="AE38" s="55"/>
      <c r="AF38" s="55"/>
      <c r="AG38" s="55"/>
      <c r="AI38" s="72"/>
      <c r="AJ38" s="289"/>
      <c r="AK38" s="289"/>
      <c r="AL38" s="289"/>
      <c r="AM38" s="135" t="str">
        <f>IF((B38&lt;&gt;""),"[br]"&amp;IF(E38="у","[strike]","")&amp;$A38&amp;". "&amp;B38&amp;" ("&amp;VLOOKUP(C38,База!$A$13:$B$17,2,0)&amp;" "&amp;D38&amp;" ур.)"&amp;IF(E38="у","[/strike] (цена реорганизации: "&amp;D38*База!$I$2&amp;")","")&amp;IF(D38&lt;AN38," (цена апгрейда: "&amp;(AN38-D38)*База!$I$3&amp;")",""),"")&amp;AM39</f>
        <v/>
      </c>
      <c r="AN38" s="135">
        <f t="shared" si="19"/>
        <v>0</v>
      </c>
      <c r="AO38" s="135">
        <f t="shared" si="20"/>
        <v>0</v>
      </c>
      <c r="AP38" s="135"/>
      <c r="AQ38" s="135" t="str">
        <f>IF((F38&lt;&gt;""),"[br]"&amp;IF(I38="у","[strike]","")&amp;$A38&amp;". "&amp;F38&amp;" ("&amp;VLOOKUP(G38,База!$A$13:$B$17,2,0)&amp;" "&amp;H38&amp;" ур.)"&amp;IF(I38="у","[/strike] (цена реорганизации: "&amp;H38*База!$I$2&amp;")","")&amp;IF(H38&lt;AR38," (цена апгрейда: "&amp;(AR38-H38)*База!$I$3&amp;")",""),"")&amp;AQ39</f>
        <v/>
      </c>
      <c r="AR38" s="135">
        <f t="shared" si="21"/>
        <v>0</v>
      </c>
      <c r="AS38" s="135">
        <f t="shared" si="22"/>
        <v>0</v>
      </c>
      <c r="AT38" s="135"/>
      <c r="AU38" s="135" t="str">
        <f>IF((J38&lt;&gt;""),"[br]"&amp;IF(M38="у","[strike]","")&amp;$A38&amp;". "&amp;J38&amp;" ("&amp;VLOOKUP(K38,База!$A$13:$B$17,2,0)&amp;" "&amp;L38&amp;" ур.)"&amp;IF(M38="у","[/strike] (цена реорганизации: "&amp;L38*База!$I$2&amp;")","")&amp;IF(L38&lt;AV38," (цена апгрейда: "&amp;(AV38-L38)*База!$I$3&amp;")",""),"")&amp;AU39</f>
        <v/>
      </c>
      <c r="AV38" s="135">
        <f t="shared" si="23"/>
        <v>0</v>
      </c>
      <c r="AW38" s="135">
        <f t="shared" si="24"/>
        <v>0</v>
      </c>
      <c r="AX38" s="135"/>
      <c r="AY38" s="135" t="str">
        <f>IF((N38&lt;&gt;""),"[br]"&amp;IF(Q38="у","[strike]","")&amp;$A38&amp;". "&amp;N38&amp;" ("&amp;VLOOKUP(O38,База!$A$13:$B$17,2,0)&amp;" "&amp;P38&amp;" ур.)"&amp;IF(Q38="у","[/strike] (цена реорганизации: "&amp;P38*База!$I$2&amp;")","")&amp;IF(P38&lt;AZ38," (цена апгрейда: "&amp;(AZ38-P38)*База!$I$3&amp;")",""),"")&amp;AY39</f>
        <v/>
      </c>
      <c r="AZ38" s="135">
        <f t="shared" si="25"/>
        <v>0</v>
      </c>
      <c r="BA38" s="135">
        <f t="shared" si="26"/>
        <v>0</v>
      </c>
      <c r="BB38" s="135"/>
      <c r="BC38" s="135" t="str">
        <f>IF((R38&lt;&gt;""),"[br]"&amp;IF(U38="у","[strike]","")&amp;$A38&amp;". "&amp;R38&amp;" ("&amp;VLOOKUP(S38,База!$A$13:$B$17,2,0)&amp;" "&amp;T38&amp;" ур.)"&amp;IF(U38="у","[/strike] (цена реорганизации: "&amp;T38*База!$I$2&amp;")","")&amp;IF(T38&lt;BD38," (цена апгрейда: "&amp;(BD38-T38)*База!$I$3&amp;")",""),"")&amp;BC39</f>
        <v>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8" s="135">
        <f t="shared" si="27"/>
        <v>4</v>
      </c>
      <c r="BE38" s="135">
        <f t="shared" si="28"/>
        <v>0</v>
      </c>
      <c r="BF38" s="135"/>
      <c r="BG38" s="135" t="str">
        <f>IF((V38&lt;&gt;""),"[br]"&amp;IF(Y38="у","[strike]","")&amp;$A38&amp;". "&amp;V38&amp;" ("&amp;VLOOKUP(W38,База!$A$13:$B$17,2,0)&amp;" "&amp;X38&amp;" ур.)"&amp;IF(Y38="у","[/strike] (цена реорганизации: "&amp;X38*База!$I$2&amp;")","")&amp;IF(X38&lt;BH38," (цена апгрейда: "&amp;(BH38-X38)*База!$I$3&amp;")",""),"")&amp;BG39</f>
        <v/>
      </c>
      <c r="BH38" s="135">
        <f t="shared" si="29"/>
        <v>0</v>
      </c>
      <c r="BI38" s="135">
        <f t="shared" si="30"/>
        <v>0</v>
      </c>
      <c r="BJ38" s="135"/>
      <c r="BK38" s="135" t="str">
        <f>IF((Z38&lt;&gt;""),"[br]"&amp;IF(AC38="у","[strike]","")&amp;$A38&amp;". "&amp;Z38&amp;" ("&amp;VLOOKUP(AA38,База!$A$13:$B$17,2,0)&amp;" "&amp;AB38&amp;" ур.)"&amp;IF(AC38="у","[/strike] (цена реорганизации: "&amp;AB38*База!$I$2&amp;")","")&amp;IF(AB38&lt;BL38," (цена апгрейда: "&amp;(BL38-AB38)*База!$I$3&amp;")",""),"")&amp;BK39</f>
        <v/>
      </c>
      <c r="BL38" s="135">
        <f t="shared" si="31"/>
        <v>0</v>
      </c>
      <c r="BM38" s="135">
        <f t="shared" si="32"/>
        <v>0</v>
      </c>
      <c r="BN38" s="135"/>
      <c r="BO38" s="135" t="str">
        <f>IF((AD38&lt;&gt;""),"[br]"&amp;IF(AG38="у","[strike]","")&amp;$A38&amp;". "&amp;AD38&amp;" ("&amp;VLOOKUP(AE38,База!$A$13:$B$17,2,0)&amp;" "&amp;AF38&amp;" ур.)"&amp;IF(AG38="у","[/strike] (цена реорганизации: "&amp;AF38*База!$I$2&amp;")","")&amp;IF(AF38&lt;BP38," (цена апгрейда: "&amp;(BP38-AF38)*База!$I$3&amp;")",""),"")&amp;BO39</f>
        <v/>
      </c>
      <c r="BP38" s="135">
        <f t="shared" si="33"/>
        <v>0</v>
      </c>
      <c r="BQ38" s="135">
        <f t="shared" si="34"/>
        <v>0</v>
      </c>
    </row>
    <row r="39" spans="1:69" x14ac:dyDescent="0.25">
      <c r="A39">
        <v>36</v>
      </c>
      <c r="B39" s="63"/>
      <c r="C39" s="267"/>
      <c r="D39" s="267"/>
      <c r="E39" s="267"/>
      <c r="F39" s="48"/>
      <c r="G39" s="50"/>
      <c r="H39" s="50"/>
      <c r="I39" s="50"/>
      <c r="J39" s="66"/>
      <c r="K39" s="68"/>
      <c r="L39" s="68"/>
      <c r="M39" s="68"/>
      <c r="N39" s="58"/>
      <c r="O39" s="261"/>
      <c r="P39" s="261"/>
      <c r="Q39" s="261"/>
      <c r="R39" s="72" t="s">
        <v>596</v>
      </c>
      <c r="S39" s="289" t="s">
        <v>158</v>
      </c>
      <c r="T39" s="289">
        <v>4</v>
      </c>
      <c r="U39" s="289" t="s">
        <v>155</v>
      </c>
      <c r="V39" s="69"/>
      <c r="W39" s="285"/>
      <c r="X39" s="285"/>
      <c r="Y39" s="283"/>
      <c r="Z39" s="26"/>
      <c r="AA39" s="279"/>
      <c r="AB39" s="279"/>
      <c r="AC39" s="279"/>
      <c r="AD39" s="53"/>
      <c r="AE39" s="55"/>
      <c r="AF39" s="55"/>
      <c r="AG39" s="55"/>
      <c r="AI39" s="72"/>
      <c r="AJ39" s="289"/>
      <c r="AK39" s="289"/>
      <c r="AL39" s="289"/>
      <c r="AM39" s="135" t="str">
        <f>IF((B39&lt;&gt;""),"[br]"&amp;IF(E39="у","[strike]","")&amp;$A39&amp;". "&amp;B39&amp;" ("&amp;VLOOKUP(C39,База!$A$13:$B$17,2,0)&amp;" "&amp;D39&amp;" ур.)"&amp;IF(E39="у","[/strike] (цена реорганизации: "&amp;D39*База!$I$2&amp;")","")&amp;IF(D39&lt;AN39," (цена апгрейда: "&amp;(AN39-D39)*База!$I$3&amp;")",""),"")&amp;AM40</f>
        <v/>
      </c>
      <c r="AN39" s="135">
        <f t="shared" si="19"/>
        <v>0</v>
      </c>
      <c r="AO39" s="135">
        <f t="shared" si="20"/>
        <v>0</v>
      </c>
      <c r="AP39" s="135"/>
      <c r="AQ39" s="135" t="str">
        <f>IF((F39&lt;&gt;""),"[br]"&amp;IF(I39="у","[strike]","")&amp;$A39&amp;". "&amp;F39&amp;" ("&amp;VLOOKUP(G39,База!$A$13:$B$17,2,0)&amp;" "&amp;H39&amp;" ур.)"&amp;IF(I39="у","[/strike] (цена реорганизации: "&amp;H39*База!$I$2&amp;")","")&amp;IF(H39&lt;AR39," (цена апгрейда: "&amp;(AR39-H39)*База!$I$3&amp;")",""),"")&amp;AQ40</f>
        <v/>
      </c>
      <c r="AR39" s="135">
        <f t="shared" si="21"/>
        <v>0</v>
      </c>
      <c r="AS39" s="135">
        <f t="shared" si="22"/>
        <v>0</v>
      </c>
      <c r="AT39" s="135"/>
      <c r="AU39" s="135" t="str">
        <f>IF((J39&lt;&gt;""),"[br]"&amp;IF(M39="у","[strike]","")&amp;$A39&amp;". "&amp;J39&amp;" ("&amp;VLOOKUP(K39,База!$A$13:$B$17,2,0)&amp;" "&amp;L39&amp;" ур.)"&amp;IF(M39="у","[/strike] (цена реорганизации: "&amp;L39*База!$I$2&amp;")","")&amp;IF(L39&lt;AV39," (цена апгрейда: "&amp;(AV39-L39)*База!$I$3&amp;")",""),"")&amp;AU40</f>
        <v/>
      </c>
      <c r="AV39" s="135">
        <f t="shared" si="23"/>
        <v>0</v>
      </c>
      <c r="AW39" s="135">
        <f t="shared" si="24"/>
        <v>0</v>
      </c>
      <c r="AX39" s="135"/>
      <c r="AY39" s="135" t="str">
        <f>IF((N39&lt;&gt;""),"[br]"&amp;IF(Q39="у","[strike]","")&amp;$A39&amp;". "&amp;N39&amp;" ("&amp;VLOOKUP(O39,База!$A$13:$B$17,2,0)&amp;" "&amp;P39&amp;" ур.)"&amp;IF(Q39="у","[/strike] (цена реорганизации: "&amp;P39*База!$I$2&amp;")","")&amp;IF(P39&lt;AZ39," (цена апгрейда: "&amp;(AZ39-P39)*База!$I$3&amp;")",""),"")&amp;AY40</f>
        <v/>
      </c>
      <c r="AZ39" s="135">
        <f t="shared" si="25"/>
        <v>0</v>
      </c>
      <c r="BA39" s="135">
        <f t="shared" si="26"/>
        <v>0</v>
      </c>
      <c r="BB39" s="135"/>
      <c r="BC39" s="135" t="str">
        <f>IF((R39&lt;&gt;""),"[br]"&amp;IF(U39="у","[strike]","")&amp;$A39&amp;". "&amp;R39&amp;" ("&amp;VLOOKUP(S39,База!$A$13:$B$17,2,0)&amp;" "&amp;T39&amp;" ур.)"&amp;IF(U39="у","[/strike] (цена реорганизации: "&amp;T39*База!$I$2&amp;")","")&amp;IF(T39&lt;BD39," (цена апгрейда: "&amp;(BD39-T39)*База!$I$3&amp;")",""),"")&amp;BC40</f>
        <v>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39" s="135">
        <f t="shared" si="27"/>
        <v>4</v>
      </c>
      <c r="BE39" s="135">
        <f t="shared" si="28"/>
        <v>0</v>
      </c>
      <c r="BF39" s="135"/>
      <c r="BG39" s="135" t="str">
        <f>IF((V39&lt;&gt;""),"[br]"&amp;IF(Y39="у","[strike]","")&amp;$A39&amp;". "&amp;V39&amp;" ("&amp;VLOOKUP(W39,База!$A$13:$B$17,2,0)&amp;" "&amp;X39&amp;" ур.)"&amp;IF(Y39="у","[/strike] (цена реорганизации: "&amp;X39*База!$I$2&amp;")","")&amp;IF(X39&lt;BH39," (цена апгрейда: "&amp;(BH39-X39)*База!$I$3&amp;")",""),"")&amp;BG40</f>
        <v/>
      </c>
      <c r="BH39" s="135">
        <f t="shared" si="29"/>
        <v>0</v>
      </c>
      <c r="BI39" s="135">
        <f t="shared" si="30"/>
        <v>0</v>
      </c>
      <c r="BJ39" s="135"/>
      <c r="BK39" s="135" t="str">
        <f>IF((Z39&lt;&gt;""),"[br]"&amp;IF(AC39="у","[strike]","")&amp;$A39&amp;". "&amp;Z39&amp;" ("&amp;VLOOKUP(AA39,База!$A$13:$B$17,2,0)&amp;" "&amp;AB39&amp;" ур.)"&amp;IF(AC39="у","[/strike] (цена реорганизации: "&amp;AB39*База!$I$2&amp;")","")&amp;IF(AB39&lt;BL39," (цена апгрейда: "&amp;(BL39-AB39)*База!$I$3&amp;")",""),"")&amp;BK40</f>
        <v/>
      </c>
      <c r="BL39" s="135">
        <f t="shared" si="31"/>
        <v>0</v>
      </c>
      <c r="BM39" s="135">
        <f t="shared" si="32"/>
        <v>0</v>
      </c>
      <c r="BN39" s="135"/>
      <c r="BO39" s="135" t="str">
        <f>IF((AD39&lt;&gt;""),"[br]"&amp;IF(AG39="у","[strike]","")&amp;$A39&amp;". "&amp;AD39&amp;" ("&amp;VLOOKUP(AE39,База!$A$13:$B$17,2,0)&amp;" "&amp;AF39&amp;" ур.)"&amp;IF(AG39="у","[/strike] (цена реорганизации: "&amp;AF39*База!$I$2&amp;")","")&amp;IF(AF39&lt;BP39," (цена апгрейда: "&amp;(BP39-AF39)*База!$I$3&amp;")",""),"")&amp;BO40</f>
        <v/>
      </c>
      <c r="BP39" s="135">
        <f t="shared" si="33"/>
        <v>0</v>
      </c>
      <c r="BQ39" s="135">
        <f t="shared" si="34"/>
        <v>0</v>
      </c>
    </row>
    <row r="40" spans="1:69" x14ac:dyDescent="0.25">
      <c r="A40">
        <v>37</v>
      </c>
      <c r="B40" s="63"/>
      <c r="C40" s="267"/>
      <c r="D40" s="267"/>
      <c r="E40" s="267"/>
      <c r="F40" s="48"/>
      <c r="G40" s="50"/>
      <c r="H40" s="50"/>
      <c r="I40" s="50"/>
      <c r="J40" s="66"/>
      <c r="K40" s="68"/>
      <c r="L40" s="68"/>
      <c r="M40" s="68"/>
      <c r="N40" s="58"/>
      <c r="O40" s="261"/>
      <c r="P40" s="261"/>
      <c r="Q40" s="261"/>
      <c r="R40" s="72" t="s">
        <v>597</v>
      </c>
      <c r="S40" s="289" t="s">
        <v>153</v>
      </c>
      <c r="T40" s="289">
        <v>3</v>
      </c>
      <c r="U40" s="289" t="s">
        <v>155</v>
      </c>
      <c r="V40" s="69"/>
      <c r="W40" s="285"/>
      <c r="X40" s="285"/>
      <c r="Y40" s="283"/>
      <c r="Z40" s="26"/>
      <c r="AA40" s="279"/>
      <c r="AB40" s="279"/>
      <c r="AC40" s="279"/>
      <c r="AD40" s="53"/>
      <c r="AE40" s="55"/>
      <c r="AF40" s="55"/>
      <c r="AG40" s="55"/>
      <c r="AI40" s="72"/>
      <c r="AJ40" s="289"/>
      <c r="AK40" s="289"/>
      <c r="AL40" s="289"/>
      <c r="AM40" s="135" t="str">
        <f>IF((B40&lt;&gt;""),"[br]"&amp;IF(E40="у","[strike]","")&amp;$A40&amp;". "&amp;B40&amp;" ("&amp;VLOOKUP(C40,База!$A$13:$B$17,2,0)&amp;" "&amp;D40&amp;" ур.)"&amp;IF(E40="у","[/strike] (цена реорганизации: "&amp;D40*База!$I$2&amp;")","")&amp;IF(D40&lt;AN40," (цена апгрейда: "&amp;(AN40-D40)*База!$I$3&amp;")",""),"")&amp;AM41</f>
        <v/>
      </c>
      <c r="AN40" s="135">
        <f t="shared" si="19"/>
        <v>0</v>
      </c>
      <c r="AO40" s="135">
        <f t="shared" si="20"/>
        <v>0</v>
      </c>
      <c r="AP40" s="135"/>
      <c r="AQ40" s="135" t="str">
        <f>IF((F40&lt;&gt;""),"[br]"&amp;IF(I40="у","[strike]","")&amp;$A40&amp;". "&amp;F40&amp;" ("&amp;VLOOKUP(G40,База!$A$13:$B$17,2,0)&amp;" "&amp;H40&amp;" ур.)"&amp;IF(I40="у","[/strike] (цена реорганизации: "&amp;H40*База!$I$2&amp;")","")&amp;IF(H40&lt;AR40," (цена апгрейда: "&amp;(AR40-H40)*База!$I$3&amp;")",""),"")&amp;AQ41</f>
        <v/>
      </c>
      <c r="AR40" s="135">
        <f t="shared" si="21"/>
        <v>0</v>
      </c>
      <c r="AS40" s="135">
        <f t="shared" si="22"/>
        <v>0</v>
      </c>
      <c r="AT40" s="135"/>
      <c r="AU40" s="135" t="str">
        <f>IF((J40&lt;&gt;""),"[br]"&amp;IF(M40="у","[strike]","")&amp;$A40&amp;". "&amp;J40&amp;" ("&amp;VLOOKUP(K40,База!$A$13:$B$17,2,0)&amp;" "&amp;L40&amp;" ур.)"&amp;IF(M40="у","[/strike] (цена реорганизации: "&amp;L40*База!$I$2&amp;")","")&amp;IF(L40&lt;AV40," (цена апгрейда: "&amp;(AV40-L40)*База!$I$3&amp;")",""),"")&amp;AU41</f>
        <v/>
      </c>
      <c r="AV40" s="135">
        <f t="shared" si="23"/>
        <v>0</v>
      </c>
      <c r="AW40" s="135">
        <f t="shared" si="24"/>
        <v>0</v>
      </c>
      <c r="AX40" s="135"/>
      <c r="AY40" s="135" t="str">
        <f>IF((N40&lt;&gt;""),"[br]"&amp;IF(Q40="у","[strike]","")&amp;$A40&amp;". "&amp;N40&amp;" ("&amp;VLOOKUP(O40,База!$A$13:$B$17,2,0)&amp;" "&amp;P40&amp;" ур.)"&amp;IF(Q40="у","[/strike] (цена реорганизации: "&amp;P40*База!$I$2&amp;")","")&amp;IF(P40&lt;AZ40," (цена апгрейда: "&amp;(AZ40-P40)*База!$I$3&amp;")",""),"")&amp;AY41</f>
        <v/>
      </c>
      <c r="AZ40" s="135">
        <f t="shared" si="25"/>
        <v>0</v>
      </c>
      <c r="BA40" s="135">
        <f t="shared" si="26"/>
        <v>0</v>
      </c>
      <c r="BB40" s="135"/>
      <c r="BC40" s="135" t="str">
        <f>IF((R40&lt;&gt;""),"[br]"&amp;IF(U40="у","[strike]","")&amp;$A40&amp;". "&amp;R40&amp;" ("&amp;VLOOKUP(S40,База!$A$13:$B$17,2,0)&amp;" "&amp;T40&amp;" ур.)"&amp;IF(U40="у","[/strike] (цена реорганизации: "&amp;T40*База!$I$2&amp;")","")&amp;IF(T40&lt;BD40," (цена апгрейда: "&amp;(BD40-T40)*База!$I$3&amp;")",""),"")&amp;BC41</f>
        <v>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40" s="135">
        <f t="shared" si="27"/>
        <v>3</v>
      </c>
      <c r="BE40" s="135">
        <f t="shared" si="28"/>
        <v>0</v>
      </c>
      <c r="BF40" s="135"/>
      <c r="BG40" s="135" t="str">
        <f>IF((V40&lt;&gt;""),"[br]"&amp;IF(Y40="у","[strike]","")&amp;$A40&amp;". "&amp;V40&amp;" ("&amp;VLOOKUP(W40,База!$A$13:$B$17,2,0)&amp;" "&amp;X40&amp;" ур.)"&amp;IF(Y40="у","[/strike] (цена реорганизации: "&amp;X40*База!$I$2&amp;")","")&amp;IF(X40&lt;BH40," (цена апгрейда: "&amp;(BH40-X40)*База!$I$3&amp;")",""),"")&amp;BG41</f>
        <v/>
      </c>
      <c r="BH40" s="135">
        <f t="shared" si="29"/>
        <v>0</v>
      </c>
      <c r="BI40" s="135">
        <f t="shared" si="30"/>
        <v>0</v>
      </c>
      <c r="BJ40" s="135"/>
      <c r="BK40" s="135" t="str">
        <f>IF((Z40&lt;&gt;""),"[br]"&amp;IF(AC40="у","[strike]","")&amp;$A40&amp;". "&amp;Z40&amp;" ("&amp;VLOOKUP(AA40,База!$A$13:$B$17,2,0)&amp;" "&amp;AB40&amp;" ур.)"&amp;IF(AC40="у","[/strike] (цена реорганизации: "&amp;AB40*База!$I$2&amp;")","")&amp;IF(AB40&lt;BL40," (цена апгрейда: "&amp;(BL40-AB40)*База!$I$3&amp;")",""),"")&amp;BK41</f>
        <v/>
      </c>
      <c r="BL40" s="135">
        <f t="shared" si="31"/>
        <v>0</v>
      </c>
      <c r="BM40" s="135">
        <f t="shared" si="32"/>
        <v>0</v>
      </c>
      <c r="BN40" s="135"/>
      <c r="BO40" s="135" t="str">
        <f>IF((AD40&lt;&gt;""),"[br]"&amp;IF(AG40="у","[strike]","")&amp;$A40&amp;". "&amp;AD40&amp;" ("&amp;VLOOKUP(AE40,База!$A$13:$B$17,2,0)&amp;" "&amp;AF40&amp;" ур.)"&amp;IF(AG40="у","[/strike] (цена реорганизации: "&amp;AF40*База!$I$2&amp;")","")&amp;IF(AF40&lt;BP40," (цена апгрейда: "&amp;(BP40-AF40)*База!$I$3&amp;")",""),"")&amp;BO41</f>
        <v/>
      </c>
      <c r="BP40" s="135">
        <f t="shared" si="33"/>
        <v>0</v>
      </c>
      <c r="BQ40" s="135">
        <f t="shared" si="34"/>
        <v>0</v>
      </c>
    </row>
    <row r="41" spans="1:69" x14ac:dyDescent="0.25">
      <c r="A41">
        <v>38</v>
      </c>
      <c r="B41" s="63"/>
      <c r="C41" s="267"/>
      <c r="D41" s="267"/>
      <c r="E41" s="267"/>
      <c r="F41" s="48"/>
      <c r="G41" s="50"/>
      <c r="H41" s="50"/>
      <c r="I41" s="50"/>
      <c r="J41" s="66"/>
      <c r="K41" s="68"/>
      <c r="L41" s="68"/>
      <c r="M41" s="68"/>
      <c r="N41" s="58"/>
      <c r="O41" s="261"/>
      <c r="P41" s="261"/>
      <c r="Q41" s="261"/>
      <c r="R41" s="72" t="s">
        <v>598</v>
      </c>
      <c r="S41" s="289" t="s">
        <v>158</v>
      </c>
      <c r="T41" s="289">
        <v>4</v>
      </c>
      <c r="U41" s="289" t="s">
        <v>155</v>
      </c>
      <c r="V41" s="69"/>
      <c r="W41" s="285"/>
      <c r="X41" s="285"/>
      <c r="Y41" s="283"/>
      <c r="Z41" s="26"/>
      <c r="AA41" s="279"/>
      <c r="AB41" s="279"/>
      <c r="AC41" s="279"/>
      <c r="AD41" s="53"/>
      <c r="AE41" s="55"/>
      <c r="AF41" s="55"/>
      <c r="AG41" s="55"/>
      <c r="AI41" s="72"/>
      <c r="AJ41" s="289"/>
      <c r="AK41" s="289"/>
      <c r="AL41" s="289"/>
      <c r="AM41" s="135" t="str">
        <f>IF((B41&lt;&gt;""),"[br]"&amp;IF(E41="у","[strike]","")&amp;$A41&amp;". "&amp;B41&amp;" ("&amp;VLOOKUP(C41,База!$A$13:$B$17,2,0)&amp;" "&amp;D41&amp;" ур.)"&amp;IF(E41="у","[/strike] (цена реорганизации: "&amp;D41*База!$I$2&amp;")","")&amp;IF(D41&lt;AN41," (цена апгрейда: "&amp;(AN41-D41)*База!$I$3&amp;")",""),"")&amp;AM42</f>
        <v/>
      </c>
      <c r="AN41" s="135">
        <f t="shared" si="19"/>
        <v>0</v>
      </c>
      <c r="AO41" s="135">
        <f t="shared" si="20"/>
        <v>0</v>
      </c>
      <c r="AP41" s="135"/>
      <c r="AQ41" s="135" t="str">
        <f>IF((F41&lt;&gt;""),"[br]"&amp;IF(I41="у","[strike]","")&amp;$A41&amp;". "&amp;F41&amp;" ("&amp;VLOOKUP(G41,База!$A$13:$B$17,2,0)&amp;" "&amp;H41&amp;" ур.)"&amp;IF(I41="у","[/strike] (цена реорганизации: "&amp;H41*База!$I$2&amp;")","")&amp;IF(H41&lt;AR41," (цена апгрейда: "&amp;(AR41-H41)*База!$I$3&amp;")",""),"")&amp;AQ42</f>
        <v/>
      </c>
      <c r="AR41" s="135">
        <f t="shared" si="21"/>
        <v>0</v>
      </c>
      <c r="AS41" s="135">
        <f t="shared" si="22"/>
        <v>0</v>
      </c>
      <c r="AT41" s="135"/>
      <c r="AU41" s="135" t="str">
        <f>IF((J41&lt;&gt;""),"[br]"&amp;IF(M41="у","[strike]","")&amp;$A41&amp;". "&amp;J41&amp;" ("&amp;VLOOKUP(K41,База!$A$13:$B$17,2,0)&amp;" "&amp;L41&amp;" ур.)"&amp;IF(M41="у","[/strike] (цена реорганизации: "&amp;L41*База!$I$2&amp;")","")&amp;IF(L41&lt;AV41," (цена апгрейда: "&amp;(AV41-L41)*База!$I$3&amp;")",""),"")&amp;AU42</f>
        <v/>
      </c>
      <c r="AV41" s="135">
        <f t="shared" si="23"/>
        <v>0</v>
      </c>
      <c r="AW41" s="135">
        <f t="shared" si="24"/>
        <v>0</v>
      </c>
      <c r="AX41" s="135"/>
      <c r="AY41" s="135" t="str">
        <f>IF((N41&lt;&gt;""),"[br]"&amp;IF(Q41="у","[strike]","")&amp;$A41&amp;". "&amp;N41&amp;" ("&amp;VLOOKUP(O41,База!$A$13:$B$17,2,0)&amp;" "&amp;P41&amp;" ур.)"&amp;IF(Q41="у","[/strike] (цена реорганизации: "&amp;P41*База!$I$2&amp;")","")&amp;IF(P41&lt;AZ41," (цена апгрейда: "&amp;(AZ41-P41)*База!$I$3&amp;")",""),"")&amp;AY42</f>
        <v/>
      </c>
      <c r="AZ41" s="135">
        <f t="shared" si="25"/>
        <v>0</v>
      </c>
      <c r="BA41" s="135">
        <f t="shared" si="26"/>
        <v>0</v>
      </c>
      <c r="BB41" s="135"/>
      <c r="BC41" s="135" t="str">
        <f>IF((R41&lt;&gt;""),"[br]"&amp;IF(U41="у","[strike]","")&amp;$A41&amp;". "&amp;R41&amp;" ("&amp;VLOOKUP(S41,База!$A$13:$B$17,2,0)&amp;" "&amp;T41&amp;" ур.)"&amp;IF(U41="у","[/strike] (цена реорганизации: "&amp;T41*База!$I$2&amp;")","")&amp;IF(T41&lt;BD41," (цена апгрейда: "&amp;(BD41-T41)*База!$I$3&amp;")",""),"")&amp;BC42</f>
        <v>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41" s="135">
        <f t="shared" si="27"/>
        <v>4</v>
      </c>
      <c r="BE41" s="135">
        <f t="shared" si="28"/>
        <v>0</v>
      </c>
      <c r="BF41" s="135"/>
      <c r="BG41" s="135" t="str">
        <f>IF((V41&lt;&gt;""),"[br]"&amp;IF(Y41="у","[strike]","")&amp;$A41&amp;". "&amp;V41&amp;" ("&amp;VLOOKUP(W41,База!$A$13:$B$17,2,0)&amp;" "&amp;X41&amp;" ур.)"&amp;IF(Y41="у","[/strike] (цена реорганизации: "&amp;X41*База!$I$2&amp;")","")&amp;IF(X41&lt;BH41," (цена апгрейда: "&amp;(BH41-X41)*База!$I$3&amp;")",""),"")&amp;BG42</f>
        <v/>
      </c>
      <c r="BH41" s="135">
        <f t="shared" si="29"/>
        <v>0</v>
      </c>
      <c r="BI41" s="135">
        <f t="shared" si="30"/>
        <v>0</v>
      </c>
      <c r="BJ41" s="135"/>
      <c r="BK41" s="135" t="str">
        <f>IF((Z41&lt;&gt;""),"[br]"&amp;IF(AC41="у","[strike]","")&amp;$A41&amp;". "&amp;Z41&amp;" ("&amp;VLOOKUP(AA41,База!$A$13:$B$17,2,0)&amp;" "&amp;AB41&amp;" ур.)"&amp;IF(AC41="у","[/strike] (цена реорганизации: "&amp;AB41*База!$I$2&amp;")","")&amp;IF(AB41&lt;BL41," (цена апгрейда: "&amp;(BL41-AB41)*База!$I$3&amp;")",""),"")&amp;BK42</f>
        <v/>
      </c>
      <c r="BL41" s="135">
        <f t="shared" si="31"/>
        <v>0</v>
      </c>
      <c r="BM41" s="135">
        <f t="shared" si="32"/>
        <v>0</v>
      </c>
      <c r="BN41" s="135"/>
      <c r="BO41" s="135" t="str">
        <f>IF((AD41&lt;&gt;""),"[br]"&amp;IF(AG41="у","[strike]","")&amp;$A41&amp;". "&amp;AD41&amp;" ("&amp;VLOOKUP(AE41,База!$A$13:$B$17,2,0)&amp;" "&amp;AF41&amp;" ур.)"&amp;IF(AG41="у","[/strike] (цена реорганизации: "&amp;AF41*База!$I$2&amp;")","")&amp;IF(AF41&lt;BP41," (цена апгрейда: "&amp;(BP41-AF41)*База!$I$3&amp;")",""),"")&amp;BO42</f>
        <v/>
      </c>
      <c r="BP41" s="135">
        <f t="shared" si="33"/>
        <v>0</v>
      </c>
      <c r="BQ41" s="135">
        <f t="shared" si="34"/>
        <v>0</v>
      </c>
    </row>
    <row r="42" spans="1:69" x14ac:dyDescent="0.25">
      <c r="A42">
        <v>39</v>
      </c>
      <c r="B42" s="63"/>
      <c r="C42" s="65"/>
      <c r="D42" s="65"/>
      <c r="E42" s="65"/>
      <c r="F42" s="48"/>
      <c r="G42" s="50"/>
      <c r="H42" s="50"/>
      <c r="I42" s="50"/>
      <c r="J42" s="66"/>
      <c r="K42" s="68"/>
      <c r="L42" s="68"/>
      <c r="M42" s="68"/>
      <c r="N42" s="58"/>
      <c r="O42" s="261"/>
      <c r="P42" s="261"/>
      <c r="Q42" s="261"/>
      <c r="R42" s="72" t="s">
        <v>599</v>
      </c>
      <c r="S42" s="289" t="s">
        <v>158</v>
      </c>
      <c r="T42" s="289">
        <v>4</v>
      </c>
      <c r="U42" s="289" t="s">
        <v>155</v>
      </c>
      <c r="V42" s="69"/>
      <c r="W42" s="285"/>
      <c r="X42" s="285"/>
      <c r="Y42" s="283"/>
      <c r="Z42" s="26"/>
      <c r="AA42" s="279"/>
      <c r="AB42" s="279"/>
      <c r="AC42" s="279"/>
      <c r="AD42" s="53"/>
      <c r="AE42" s="55"/>
      <c r="AF42" s="55"/>
      <c r="AG42" s="55"/>
      <c r="AI42" s="72"/>
      <c r="AJ42" s="289"/>
      <c r="AK42" s="289"/>
      <c r="AL42" s="289"/>
      <c r="AM42" s="135" t="str">
        <f>IF((B42&lt;&gt;""),"[br]"&amp;IF(E42="у","[strike]","")&amp;$A42&amp;". "&amp;B42&amp;" ("&amp;VLOOKUP(C42,База!$A$13:$B$17,2,0)&amp;" "&amp;D42&amp;" ур.)"&amp;IF(E42="у","[/strike] (цена реорганизации: "&amp;D42*База!$I$2&amp;")","")&amp;IF(D42&lt;AN42," (цена апгрейда: "&amp;(AN42-D42)*База!$I$3&amp;")",""),"")&amp;AM43</f>
        <v/>
      </c>
      <c r="AN42" s="135">
        <f t="shared" si="19"/>
        <v>0</v>
      </c>
      <c r="AO42" s="135">
        <f t="shared" si="20"/>
        <v>0</v>
      </c>
      <c r="AP42" s="135"/>
      <c r="AQ42" s="135" t="str">
        <f>IF((F42&lt;&gt;""),"[br]"&amp;IF(I42="у","[strike]","")&amp;$A42&amp;". "&amp;F42&amp;" ("&amp;VLOOKUP(G42,База!$A$13:$B$17,2,0)&amp;" "&amp;H42&amp;" ур.)"&amp;IF(I42="у","[/strike] (цена реорганизации: "&amp;H42*База!$I$2&amp;")","")&amp;IF(H42&lt;AR42," (цена апгрейда: "&amp;(AR42-H42)*База!$I$3&amp;")",""),"")&amp;AQ43</f>
        <v/>
      </c>
      <c r="AR42" s="135">
        <f t="shared" si="21"/>
        <v>0</v>
      </c>
      <c r="AS42" s="135">
        <f t="shared" si="22"/>
        <v>0</v>
      </c>
      <c r="AT42" s="135"/>
      <c r="AU42" s="135" t="str">
        <f>IF((J42&lt;&gt;""),"[br]"&amp;IF(M42="у","[strike]","")&amp;$A42&amp;". "&amp;J42&amp;" ("&amp;VLOOKUP(K42,База!$A$13:$B$17,2,0)&amp;" "&amp;L42&amp;" ур.)"&amp;IF(M42="у","[/strike] (цена реорганизации: "&amp;L42*База!$I$2&amp;")","")&amp;IF(L42&lt;AV42," (цена апгрейда: "&amp;(AV42-L42)*База!$I$3&amp;")",""),"")&amp;AU43</f>
        <v/>
      </c>
      <c r="AV42" s="135">
        <f t="shared" si="23"/>
        <v>0</v>
      </c>
      <c r="AW42" s="135">
        <f t="shared" si="24"/>
        <v>0</v>
      </c>
      <c r="AX42" s="135"/>
      <c r="AY42" s="135" t="str">
        <f>IF((N42&lt;&gt;""),"[br]"&amp;IF(Q42="у","[strike]","")&amp;$A42&amp;". "&amp;N42&amp;" ("&amp;VLOOKUP(O42,База!$A$13:$B$17,2,0)&amp;" "&amp;P42&amp;" ур.)"&amp;IF(Q42="у","[/strike] (цена реорганизации: "&amp;P42*База!$I$2&amp;")","")&amp;IF(P42&lt;AZ42," (цена апгрейда: "&amp;(AZ42-P42)*База!$I$3&amp;")",""),"")&amp;AY43</f>
        <v/>
      </c>
      <c r="AZ42" s="135">
        <f t="shared" si="25"/>
        <v>0</v>
      </c>
      <c r="BA42" s="135">
        <f t="shared" si="26"/>
        <v>0</v>
      </c>
      <c r="BB42" s="135"/>
      <c r="BC42" s="135" t="str">
        <f>IF((R42&lt;&gt;""),"[br]"&amp;IF(U42="у","[strike]","")&amp;$A42&amp;". "&amp;R42&amp;" ("&amp;VLOOKUP(S42,База!$A$13:$B$17,2,0)&amp;" "&amp;T42&amp;" ур.)"&amp;IF(U42="у","[/strike] (цена реорганизации: "&amp;T42*База!$I$2&amp;")","")&amp;IF(T42&lt;BD42," (цена апгрейда: "&amp;(BD42-T42)*База!$I$3&amp;")",""),"")&amp;BC43</f>
        <v>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42" s="135">
        <f t="shared" si="27"/>
        <v>4</v>
      </c>
      <c r="BE42" s="135">
        <f t="shared" si="28"/>
        <v>0</v>
      </c>
      <c r="BF42" s="135"/>
      <c r="BG42" s="135" t="str">
        <f>IF((V42&lt;&gt;""),"[br]"&amp;IF(Y42="у","[strike]","")&amp;$A42&amp;". "&amp;V42&amp;" ("&amp;VLOOKUP(W42,База!$A$13:$B$17,2,0)&amp;" "&amp;X42&amp;" ур.)"&amp;IF(Y42="у","[/strike] (цена реорганизации: "&amp;X42*База!$I$2&amp;")","")&amp;IF(X42&lt;BH42," (цена апгрейда: "&amp;(BH42-X42)*База!$I$3&amp;")",""),"")&amp;BG43</f>
        <v/>
      </c>
      <c r="BH42" s="135">
        <f t="shared" si="29"/>
        <v>0</v>
      </c>
      <c r="BI42" s="135">
        <f t="shared" si="30"/>
        <v>0</v>
      </c>
      <c r="BJ42" s="135"/>
      <c r="BK42" s="135" t="str">
        <f>IF((Z42&lt;&gt;""),"[br]"&amp;IF(AC42="у","[strike]","")&amp;$A42&amp;". "&amp;Z42&amp;" ("&amp;VLOOKUP(AA42,База!$A$13:$B$17,2,0)&amp;" "&amp;AB42&amp;" ур.)"&amp;IF(AC42="у","[/strike] (цена реорганизации: "&amp;AB42*База!$I$2&amp;")","")&amp;IF(AB42&lt;BL42," (цена апгрейда: "&amp;(BL42-AB42)*База!$I$3&amp;")",""),"")&amp;BK43</f>
        <v/>
      </c>
      <c r="BL42" s="135">
        <f t="shared" si="31"/>
        <v>0</v>
      </c>
      <c r="BM42" s="135">
        <f t="shared" si="32"/>
        <v>0</v>
      </c>
      <c r="BN42" s="135"/>
      <c r="BO42" s="135" t="str">
        <f>IF((AD42&lt;&gt;""),"[br]"&amp;IF(AG42="у","[strike]","")&amp;$A42&amp;". "&amp;AD42&amp;" ("&amp;VLOOKUP(AE42,База!$A$13:$B$17,2,0)&amp;" "&amp;AF42&amp;" ур.)"&amp;IF(AG42="у","[/strike] (цена реорганизации: "&amp;AF42*База!$I$2&amp;")","")&amp;IF(AF42&lt;BP42," (цена апгрейда: "&amp;(BP42-AF42)*База!$I$3&amp;")",""),"")&amp;BO43</f>
        <v/>
      </c>
      <c r="BP42" s="135">
        <f t="shared" si="33"/>
        <v>0</v>
      </c>
      <c r="BQ42" s="135">
        <f t="shared" si="34"/>
        <v>0</v>
      </c>
    </row>
    <row r="43" spans="1:69" x14ac:dyDescent="0.25">
      <c r="A43">
        <v>40</v>
      </c>
      <c r="B43" s="63"/>
      <c r="C43" s="65"/>
      <c r="D43" s="65"/>
      <c r="E43" s="65"/>
      <c r="F43" s="48"/>
      <c r="G43" s="50"/>
      <c r="H43" s="50"/>
      <c r="I43" s="50"/>
      <c r="J43" s="66"/>
      <c r="K43" s="68"/>
      <c r="L43" s="68"/>
      <c r="M43" s="68"/>
      <c r="N43" s="58"/>
      <c r="O43" s="261"/>
      <c r="P43" s="261"/>
      <c r="Q43" s="261"/>
      <c r="R43" s="72" t="s">
        <v>600</v>
      </c>
      <c r="S43" s="289" t="s">
        <v>153</v>
      </c>
      <c r="T43" s="289">
        <v>3</v>
      </c>
      <c r="U43" s="289" t="s">
        <v>155</v>
      </c>
      <c r="V43" s="69"/>
      <c r="W43" s="285"/>
      <c r="X43" s="285"/>
      <c r="Y43" s="283"/>
      <c r="Z43" s="26"/>
      <c r="AA43" s="279"/>
      <c r="AB43" s="279"/>
      <c r="AC43" s="279"/>
      <c r="AD43" s="53"/>
      <c r="AE43" s="55"/>
      <c r="AF43" s="55"/>
      <c r="AG43" s="55"/>
      <c r="AI43" s="72"/>
      <c r="AJ43" s="289"/>
      <c r="AK43" s="289"/>
      <c r="AL43" s="289"/>
      <c r="AM43" s="135" t="str">
        <f>IF((B43&lt;&gt;""),"[br]"&amp;IF(E43="у","[strike]","")&amp;$A43&amp;". "&amp;B43&amp;" ("&amp;VLOOKUP(C43,База!$A$13:$B$17,2,0)&amp;" "&amp;D43&amp;" ур.)"&amp;IF(E43="у","[/strike] (цена реорганизации: "&amp;D43*База!$I$2&amp;")","")&amp;IF(D43&lt;AN43," (цена апгрейда: "&amp;(AN43-D43)*База!$I$3&amp;")",""),"")&amp;AM44</f>
        <v/>
      </c>
      <c r="AN43" s="135">
        <f t="shared" si="19"/>
        <v>0</v>
      </c>
      <c r="AO43" s="135">
        <f t="shared" si="20"/>
        <v>0</v>
      </c>
      <c r="AP43" s="135"/>
      <c r="AQ43" s="135" t="str">
        <f>IF((F43&lt;&gt;""),"[br]"&amp;IF(I43="у","[strike]","")&amp;$A43&amp;". "&amp;F43&amp;" ("&amp;VLOOKUP(G43,База!$A$13:$B$17,2,0)&amp;" "&amp;H43&amp;" ур.)"&amp;IF(I43="у","[/strike] (цена реорганизации: "&amp;H43*База!$I$2&amp;")","")&amp;IF(H43&lt;AR43," (цена апгрейда: "&amp;(AR43-H43)*База!$I$3&amp;")",""),"")&amp;AQ44</f>
        <v/>
      </c>
      <c r="AR43" s="135">
        <f t="shared" si="21"/>
        <v>0</v>
      </c>
      <c r="AS43" s="135">
        <f t="shared" si="22"/>
        <v>0</v>
      </c>
      <c r="AT43" s="135"/>
      <c r="AU43" s="135" t="str">
        <f>IF((J43&lt;&gt;""),"[br]"&amp;IF(M43="у","[strike]","")&amp;$A43&amp;". "&amp;J43&amp;" ("&amp;VLOOKUP(K43,База!$A$13:$B$17,2,0)&amp;" "&amp;L43&amp;" ур.)"&amp;IF(M43="у","[/strike] (цена реорганизации: "&amp;L43*База!$I$2&amp;")","")&amp;IF(L43&lt;AV43," (цена апгрейда: "&amp;(AV43-L43)*База!$I$3&amp;")",""),"")&amp;AU44</f>
        <v/>
      </c>
      <c r="AV43" s="135">
        <f t="shared" si="23"/>
        <v>0</v>
      </c>
      <c r="AW43" s="135">
        <f t="shared" si="24"/>
        <v>0</v>
      </c>
      <c r="AX43" s="135"/>
      <c r="AY43" s="135" t="str">
        <f>IF((N43&lt;&gt;""),"[br]"&amp;IF(Q43="у","[strike]","")&amp;$A43&amp;". "&amp;N43&amp;" ("&amp;VLOOKUP(O43,База!$A$13:$B$17,2,0)&amp;" "&amp;P43&amp;" ур.)"&amp;IF(Q43="у","[/strike] (цена реорганизации: "&amp;P43*База!$I$2&amp;")","")&amp;IF(P43&lt;AZ43," (цена апгрейда: "&amp;(AZ43-P43)*База!$I$3&amp;")",""),"")&amp;AY44</f>
        <v/>
      </c>
      <c r="AZ43" s="135">
        <f t="shared" si="25"/>
        <v>0</v>
      </c>
      <c r="BA43" s="135">
        <f t="shared" si="26"/>
        <v>0</v>
      </c>
      <c r="BB43" s="135"/>
      <c r="BC43" s="135" t="str">
        <f>IF((R43&lt;&gt;""),"[br]"&amp;IF(U43="у","[strike]","")&amp;$A43&amp;". "&amp;R43&amp;" ("&amp;VLOOKUP(S43,База!$A$13:$B$17,2,0)&amp;" "&amp;T43&amp;" ур.)"&amp;IF(U43="у","[/strike] (цена реорганизации: "&amp;T43*База!$I$2&amp;")","")&amp;IF(T43&lt;BD43," (цена апгрейда: "&amp;(BD43-T43)*База!$I$3&amp;")",""),"")&amp;BC44</f>
        <v>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43" s="135">
        <f t="shared" si="27"/>
        <v>3</v>
      </c>
      <c r="BE43" s="135">
        <f t="shared" si="28"/>
        <v>0</v>
      </c>
      <c r="BF43" s="135"/>
      <c r="BG43" s="135" t="str">
        <f>IF((V43&lt;&gt;""),"[br]"&amp;IF(Y43="у","[strike]","")&amp;$A43&amp;". "&amp;V43&amp;" ("&amp;VLOOKUP(W43,База!$A$13:$B$17,2,0)&amp;" "&amp;X43&amp;" ур.)"&amp;IF(Y43="у","[/strike] (цена реорганизации: "&amp;X43*База!$I$2&amp;")","")&amp;IF(X43&lt;BH43," (цена апгрейда: "&amp;(BH43-X43)*База!$I$3&amp;")",""),"")&amp;BG44</f>
        <v/>
      </c>
      <c r="BH43" s="135">
        <f t="shared" si="29"/>
        <v>0</v>
      </c>
      <c r="BI43" s="135">
        <f t="shared" si="30"/>
        <v>0</v>
      </c>
      <c r="BJ43" s="135"/>
      <c r="BK43" s="135" t="str">
        <f>IF((Z43&lt;&gt;""),"[br]"&amp;IF(AC43="у","[strike]","")&amp;$A43&amp;". "&amp;Z43&amp;" ("&amp;VLOOKUP(AA43,База!$A$13:$B$17,2,0)&amp;" "&amp;AB43&amp;" ур.)"&amp;IF(AC43="у","[/strike] (цена реорганизации: "&amp;AB43*База!$I$2&amp;")","")&amp;IF(AB43&lt;BL43," (цена апгрейда: "&amp;(BL43-AB43)*База!$I$3&amp;")",""),"")&amp;BK44</f>
        <v/>
      </c>
      <c r="BL43" s="135">
        <f t="shared" si="31"/>
        <v>0</v>
      </c>
      <c r="BM43" s="135">
        <f t="shared" si="32"/>
        <v>0</v>
      </c>
      <c r="BN43" s="135"/>
      <c r="BO43" s="135" t="str">
        <f>IF((AD43&lt;&gt;""),"[br]"&amp;IF(AG43="у","[strike]","")&amp;$A43&amp;". "&amp;AD43&amp;" ("&amp;VLOOKUP(AE43,База!$A$13:$B$17,2,0)&amp;" "&amp;AF43&amp;" ур.)"&amp;IF(AG43="у","[/strike] (цена реорганизации: "&amp;AF43*База!$I$2&amp;")","")&amp;IF(AF43&lt;BP43," (цена апгрейда: "&amp;(BP43-AF43)*База!$I$3&amp;")",""),"")&amp;BO44</f>
        <v/>
      </c>
      <c r="BP43" s="135">
        <f t="shared" si="33"/>
        <v>0</v>
      </c>
      <c r="BQ43" s="135">
        <f t="shared" si="34"/>
        <v>0</v>
      </c>
    </row>
    <row r="44" spans="1:69" x14ac:dyDescent="0.25">
      <c r="A44">
        <v>41</v>
      </c>
      <c r="B44" s="63"/>
      <c r="C44" s="65"/>
      <c r="D44" s="65"/>
      <c r="E44" s="65"/>
      <c r="F44" s="48"/>
      <c r="G44" s="50"/>
      <c r="H44" s="50"/>
      <c r="I44" s="50"/>
      <c r="J44" s="66"/>
      <c r="K44" s="68"/>
      <c r="L44" s="68"/>
      <c r="M44" s="68"/>
      <c r="N44" s="58"/>
      <c r="O44" s="60"/>
      <c r="P44" s="60"/>
      <c r="Q44" s="60"/>
      <c r="R44" s="72" t="s">
        <v>601</v>
      </c>
      <c r="S44" s="289" t="s">
        <v>158</v>
      </c>
      <c r="T44" s="289">
        <v>4</v>
      </c>
      <c r="U44" s="289" t="s">
        <v>155</v>
      </c>
      <c r="V44" s="69"/>
      <c r="W44" s="285"/>
      <c r="X44" s="285"/>
      <c r="Y44" s="283"/>
      <c r="Z44" s="26"/>
      <c r="AA44" s="279"/>
      <c r="AB44" s="279"/>
      <c r="AC44" s="279"/>
      <c r="AD44" s="53"/>
      <c r="AE44" s="55"/>
      <c r="AF44" s="55"/>
      <c r="AG44" s="55"/>
      <c r="AI44" s="72"/>
      <c r="AJ44" s="289"/>
      <c r="AK44" s="289"/>
      <c r="AL44" s="289"/>
      <c r="AM44" s="135" t="str">
        <f>IF((B44&lt;&gt;""),"[br]"&amp;IF(E44="у","[strike]","")&amp;$A44&amp;". "&amp;B44&amp;" ("&amp;VLOOKUP(C44,База!$A$13:$B$17,2,0)&amp;" "&amp;D44&amp;" ур.)"&amp;IF(E44="у","[/strike] (цена реорганизации: "&amp;D44*База!$I$2&amp;")","")&amp;IF(D44&lt;AN44," (цена апгрейда: "&amp;(AN44-D44)*База!$I$3&amp;")",""),"")&amp;AM45</f>
        <v/>
      </c>
      <c r="AN44" s="135">
        <f t="shared" si="19"/>
        <v>0</v>
      </c>
      <c r="AO44" s="135">
        <f t="shared" si="20"/>
        <v>0</v>
      </c>
      <c r="AP44" s="135"/>
      <c r="AQ44" s="135" t="str">
        <f>IF((F44&lt;&gt;""),"[br]"&amp;IF(I44="у","[strike]","")&amp;$A44&amp;". "&amp;F44&amp;" ("&amp;VLOOKUP(G44,База!$A$13:$B$17,2,0)&amp;" "&amp;H44&amp;" ур.)"&amp;IF(I44="у","[/strike] (цена реорганизации: "&amp;H44*База!$I$2&amp;")","")&amp;IF(H44&lt;AR44," (цена апгрейда: "&amp;(AR44-H44)*База!$I$3&amp;")",""),"")&amp;AQ45</f>
        <v/>
      </c>
      <c r="AR44" s="135">
        <f t="shared" si="21"/>
        <v>0</v>
      </c>
      <c r="AS44" s="135">
        <f t="shared" si="22"/>
        <v>0</v>
      </c>
      <c r="AT44" s="135"/>
      <c r="AU44" s="135" t="str">
        <f>IF((J44&lt;&gt;""),"[br]"&amp;IF(M44="у","[strike]","")&amp;$A44&amp;". "&amp;J44&amp;" ("&amp;VLOOKUP(K44,База!$A$13:$B$17,2,0)&amp;" "&amp;L44&amp;" ур.)"&amp;IF(M44="у","[/strike] (цена реорганизации: "&amp;L44*База!$I$2&amp;")","")&amp;IF(L44&lt;AV44," (цена апгрейда: "&amp;(AV44-L44)*База!$I$3&amp;")",""),"")&amp;AU45</f>
        <v/>
      </c>
      <c r="AV44" s="135">
        <f t="shared" si="23"/>
        <v>0</v>
      </c>
      <c r="AW44" s="135">
        <f t="shared" si="24"/>
        <v>0</v>
      </c>
      <c r="AX44" s="135"/>
      <c r="AY44" s="135" t="str">
        <f>IF((N44&lt;&gt;""),"[br]"&amp;IF(Q44="у","[strike]","")&amp;$A44&amp;". "&amp;N44&amp;" ("&amp;VLOOKUP(O44,База!$A$13:$B$17,2,0)&amp;" "&amp;P44&amp;" ур.)"&amp;IF(Q44="у","[/strike] (цена реорганизации: "&amp;P44*База!$I$2&amp;")","")&amp;IF(P44&lt;AZ44," (цена апгрейда: "&amp;(AZ44-P44)*База!$I$3&amp;")",""),"")&amp;AY45</f>
        <v/>
      </c>
      <c r="AZ44" s="135">
        <f t="shared" si="25"/>
        <v>0</v>
      </c>
      <c r="BA44" s="135">
        <f t="shared" si="26"/>
        <v>0</v>
      </c>
      <c r="BB44" s="135"/>
      <c r="BC44" s="135" t="str">
        <f>IF((R44&lt;&gt;""),"[br]"&amp;IF(U44="у","[strike]","")&amp;$A44&amp;". "&amp;R44&amp;" ("&amp;VLOOKUP(S44,База!$A$13:$B$17,2,0)&amp;" "&amp;T44&amp;" ур.)"&amp;IF(U44="у","[/strike] (цена реорганизации: "&amp;T44*База!$I$2&amp;")","")&amp;IF(T44&lt;BD44," (цена апгрейда: "&amp;(BD44-T44)*База!$I$3&amp;")",""),"")&amp;BC45</f>
        <v>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44" s="135">
        <f t="shared" si="27"/>
        <v>4</v>
      </c>
      <c r="BE44" s="135">
        <f t="shared" si="28"/>
        <v>0</v>
      </c>
      <c r="BF44" s="135"/>
      <c r="BG44" s="135" t="str">
        <f>IF((V44&lt;&gt;""),"[br]"&amp;IF(Y44="у","[strike]","")&amp;$A44&amp;". "&amp;V44&amp;" ("&amp;VLOOKUP(W44,База!$A$13:$B$17,2,0)&amp;" "&amp;X44&amp;" ур.)"&amp;IF(Y44="у","[/strike] (цена реорганизации: "&amp;X44*База!$I$2&amp;")","")&amp;IF(X44&lt;BH44," (цена апгрейда: "&amp;(BH44-X44)*База!$I$3&amp;")",""),"")&amp;BG45</f>
        <v/>
      </c>
      <c r="BH44" s="135">
        <f t="shared" si="29"/>
        <v>0</v>
      </c>
      <c r="BI44" s="135">
        <f t="shared" si="30"/>
        <v>0</v>
      </c>
      <c r="BJ44" s="135"/>
      <c r="BK44" s="135" t="str">
        <f>IF((Z44&lt;&gt;""),"[br]"&amp;IF(AC44="у","[strike]","")&amp;$A44&amp;". "&amp;Z44&amp;" ("&amp;VLOOKUP(AA44,База!$A$13:$B$17,2,0)&amp;" "&amp;AB44&amp;" ур.)"&amp;IF(AC44="у","[/strike] (цена реорганизации: "&amp;AB44*База!$I$2&amp;")","")&amp;IF(AB44&lt;BL44," (цена апгрейда: "&amp;(BL44-AB44)*База!$I$3&amp;")",""),"")&amp;BK45</f>
        <v/>
      </c>
      <c r="BL44" s="135">
        <f t="shared" si="31"/>
        <v>0</v>
      </c>
      <c r="BM44" s="135">
        <f t="shared" si="32"/>
        <v>0</v>
      </c>
      <c r="BN44" s="135"/>
      <c r="BO44" s="135" t="str">
        <f>IF((AD44&lt;&gt;""),"[br]"&amp;IF(AG44="у","[strike]","")&amp;$A44&amp;". "&amp;AD44&amp;" ("&amp;VLOOKUP(AE44,База!$A$13:$B$17,2,0)&amp;" "&amp;AF44&amp;" ур.)"&amp;IF(AG44="у","[/strike] (цена реорганизации: "&amp;AF44*База!$I$2&amp;")","")&amp;IF(AF44&lt;BP44," (цена апгрейда: "&amp;(BP44-AF44)*База!$I$3&amp;")",""),"")&amp;BO45</f>
        <v/>
      </c>
      <c r="BP44" s="135">
        <f t="shared" si="33"/>
        <v>0</v>
      </c>
      <c r="BQ44" s="135">
        <f t="shared" si="34"/>
        <v>0</v>
      </c>
    </row>
    <row r="45" spans="1:69" x14ac:dyDescent="0.25">
      <c r="A45">
        <v>42</v>
      </c>
      <c r="B45" s="63"/>
      <c r="C45" s="65"/>
      <c r="D45" s="65"/>
      <c r="E45" s="65"/>
      <c r="F45" s="48"/>
      <c r="G45" s="50"/>
      <c r="H45" s="50"/>
      <c r="I45" s="50"/>
      <c r="J45" s="66"/>
      <c r="K45" s="68"/>
      <c r="L45" s="68"/>
      <c r="M45" s="68"/>
      <c r="N45" s="58"/>
      <c r="O45" s="60"/>
      <c r="P45" s="60"/>
      <c r="Q45" s="60"/>
      <c r="R45" s="72" t="s">
        <v>602</v>
      </c>
      <c r="S45" s="289" t="s">
        <v>153</v>
      </c>
      <c r="T45" s="289">
        <v>3</v>
      </c>
      <c r="U45" s="289" t="s">
        <v>155</v>
      </c>
      <c r="V45" s="69"/>
      <c r="W45" s="283"/>
      <c r="X45" s="283"/>
      <c r="Y45" s="283"/>
      <c r="Z45" s="26"/>
      <c r="AA45" s="279"/>
      <c r="AB45" s="279"/>
      <c r="AC45" s="279"/>
      <c r="AD45" s="53"/>
      <c r="AE45" s="55"/>
      <c r="AF45" s="55"/>
      <c r="AG45" s="55"/>
      <c r="AI45" s="72"/>
      <c r="AJ45" s="289"/>
      <c r="AK45" s="289"/>
      <c r="AL45" s="289"/>
      <c r="AM45" s="135" t="str">
        <f>IF((B45&lt;&gt;""),"[br]"&amp;IF(E45="у","[strike]","")&amp;$A45&amp;". "&amp;B45&amp;" ("&amp;VLOOKUP(C45,База!$A$13:$B$17,2,0)&amp;" "&amp;D45&amp;" ур.)"&amp;IF(E45="у","[/strike] (цена реорганизации: "&amp;D45*База!$I$2&amp;")","")&amp;IF(D45&lt;AN45," (цена апгрейда: "&amp;(AN45-D45)*База!$I$3&amp;")",""),"")&amp;AM46</f>
        <v/>
      </c>
      <c r="AN45" s="135">
        <f t="shared" si="19"/>
        <v>0</v>
      </c>
      <c r="AO45" s="135">
        <f t="shared" si="20"/>
        <v>0</v>
      </c>
      <c r="AP45" s="135"/>
      <c r="AQ45" s="135" t="str">
        <f>IF((F45&lt;&gt;""),"[br]"&amp;IF(I45="у","[strike]","")&amp;$A45&amp;". "&amp;F45&amp;" ("&amp;VLOOKUP(G45,База!$A$13:$B$17,2,0)&amp;" "&amp;H45&amp;" ур.)"&amp;IF(I45="у","[/strike] (цена реорганизации: "&amp;H45*База!$I$2&amp;")","")&amp;IF(H45&lt;AR45," (цена апгрейда: "&amp;(AR45-H45)*База!$I$3&amp;")",""),"")&amp;AQ46</f>
        <v/>
      </c>
      <c r="AR45" s="135">
        <f t="shared" si="21"/>
        <v>0</v>
      </c>
      <c r="AS45" s="135">
        <f t="shared" si="22"/>
        <v>0</v>
      </c>
      <c r="AT45" s="135"/>
      <c r="AU45" s="135" t="str">
        <f>IF((J45&lt;&gt;""),"[br]"&amp;IF(M45="у","[strike]","")&amp;$A45&amp;". "&amp;J45&amp;" ("&amp;VLOOKUP(K45,База!$A$13:$B$17,2,0)&amp;" "&amp;L45&amp;" ур.)"&amp;IF(M45="у","[/strike] (цена реорганизации: "&amp;L45*База!$I$2&amp;")","")&amp;IF(L45&lt;AV45," (цена апгрейда: "&amp;(AV45-L45)*База!$I$3&amp;")",""),"")&amp;AU46</f>
        <v/>
      </c>
      <c r="AV45" s="135">
        <f t="shared" si="23"/>
        <v>0</v>
      </c>
      <c r="AW45" s="135">
        <f t="shared" si="24"/>
        <v>0</v>
      </c>
      <c r="AX45" s="135"/>
      <c r="AY45" s="135" t="str">
        <f>IF((N45&lt;&gt;""),"[br]"&amp;IF(Q45="у","[strike]","")&amp;$A45&amp;". "&amp;N45&amp;" ("&amp;VLOOKUP(O45,База!$A$13:$B$17,2,0)&amp;" "&amp;P45&amp;" ур.)"&amp;IF(Q45="у","[/strike] (цена реорганизации: "&amp;P45*База!$I$2&amp;")","")&amp;IF(P45&lt;AZ45," (цена апгрейда: "&amp;(AZ45-P45)*База!$I$3&amp;")",""),"")&amp;AY46</f>
        <v/>
      </c>
      <c r="AZ45" s="135">
        <f t="shared" si="25"/>
        <v>0</v>
      </c>
      <c r="BA45" s="135">
        <f t="shared" si="26"/>
        <v>0</v>
      </c>
      <c r="BB45" s="135"/>
      <c r="BC45" s="135" t="str">
        <f>IF((R45&lt;&gt;""),"[br]"&amp;IF(U45="у","[strike]","")&amp;$A45&amp;". "&amp;R45&amp;" ("&amp;VLOOKUP(S45,База!$A$13:$B$17,2,0)&amp;" "&amp;T45&amp;" ур.)"&amp;IF(U45="у","[/strike] (цена реорганизации: "&amp;T45*База!$I$2&amp;")","")&amp;IF(T45&lt;BD45," (цена апгрейда: "&amp;(BD45-T45)*База!$I$3&amp;")",""),"")&amp;BC46</f>
        <v>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BD45" s="135">
        <f t="shared" si="27"/>
        <v>3</v>
      </c>
      <c r="BE45" s="135">
        <f t="shared" si="28"/>
        <v>0</v>
      </c>
      <c r="BF45" s="135"/>
      <c r="BG45" s="135" t="str">
        <f>IF((V45&lt;&gt;""),"[br]"&amp;IF(Y45="у","[strike]","")&amp;$A45&amp;". "&amp;V45&amp;" ("&amp;VLOOKUP(W45,База!$A$13:$B$17,2,0)&amp;" "&amp;X45&amp;" ур.)"&amp;IF(Y45="у","[/strike] (цена реорганизации: "&amp;X45*База!$I$2&amp;")","")&amp;IF(X45&lt;BH45," (цена апгрейда: "&amp;(BH45-X45)*База!$I$3&amp;")",""),"")&amp;BG46</f>
        <v/>
      </c>
      <c r="BH45" s="135">
        <f t="shared" si="29"/>
        <v>0</v>
      </c>
      <c r="BI45" s="135">
        <f t="shared" si="30"/>
        <v>0</v>
      </c>
      <c r="BJ45" s="135"/>
      <c r="BK45" s="135" t="str">
        <f>IF((Z45&lt;&gt;""),"[br]"&amp;IF(AC45="у","[strike]","")&amp;$A45&amp;". "&amp;Z45&amp;" ("&amp;VLOOKUP(AA45,База!$A$13:$B$17,2,0)&amp;" "&amp;AB45&amp;" ур.)"&amp;IF(AC45="у","[/strike] (цена реорганизации: "&amp;AB45*База!$I$2&amp;")","")&amp;IF(AB45&lt;BL45," (цена апгрейда: "&amp;(BL45-AB45)*База!$I$3&amp;")",""),"")&amp;BK46</f>
        <v/>
      </c>
      <c r="BL45" s="135">
        <f t="shared" si="31"/>
        <v>0</v>
      </c>
      <c r="BM45" s="135">
        <f t="shared" si="32"/>
        <v>0</v>
      </c>
      <c r="BN45" s="135"/>
      <c r="BO45" s="135" t="str">
        <f>IF((AD45&lt;&gt;""),"[br]"&amp;IF(AG45="у","[strike]","")&amp;$A45&amp;". "&amp;AD45&amp;" ("&amp;VLOOKUP(AE45,База!$A$13:$B$17,2,0)&amp;" "&amp;AF45&amp;" ур.)"&amp;IF(AG45="у","[/strike] (цена реорганизации: "&amp;AF45*База!$I$2&amp;")","")&amp;IF(AF45&lt;BP45," (цена апгрейда: "&amp;(BP45-AF45)*База!$I$3&amp;")",""),"")&amp;BO46</f>
        <v/>
      </c>
      <c r="BP45" s="135">
        <f t="shared" si="33"/>
        <v>0</v>
      </c>
      <c r="BQ45" s="135">
        <f t="shared" si="34"/>
        <v>0</v>
      </c>
    </row>
    <row r="46" spans="1:69" x14ac:dyDescent="0.25">
      <c r="A46">
        <v>43</v>
      </c>
      <c r="B46" s="63"/>
      <c r="C46" s="65"/>
      <c r="D46" s="65"/>
      <c r="E46" s="65"/>
      <c r="F46" s="48"/>
      <c r="G46" s="50"/>
      <c r="H46" s="50"/>
      <c r="I46" s="50"/>
      <c r="J46" s="66"/>
      <c r="K46" s="68"/>
      <c r="L46" s="68"/>
      <c r="M46" s="68"/>
      <c r="N46" s="58"/>
      <c r="O46" s="60"/>
      <c r="P46" s="60"/>
      <c r="Q46" s="60"/>
      <c r="R46" s="72" t="s">
        <v>603</v>
      </c>
      <c r="S46" s="289" t="s">
        <v>158</v>
      </c>
      <c r="T46" s="289">
        <v>4</v>
      </c>
      <c r="U46" s="289" t="s">
        <v>155</v>
      </c>
      <c r="V46" s="69"/>
      <c r="W46" s="265"/>
      <c r="X46" s="265"/>
      <c r="Y46" s="278"/>
      <c r="Z46" s="26"/>
      <c r="AA46" s="279"/>
      <c r="AB46" s="279"/>
      <c r="AC46" s="279"/>
      <c r="AD46" s="53"/>
      <c r="AE46" s="55"/>
      <c r="AF46" s="55"/>
      <c r="AG46" s="55"/>
      <c r="AI46" s="72"/>
      <c r="AJ46" s="289"/>
      <c r="AK46" s="289"/>
      <c r="AL46" s="289"/>
      <c r="AM46" s="135" t="str">
        <f>IF((B46&lt;&gt;""),"[br]"&amp;IF(E46="у","[strike]","")&amp;$A46&amp;". "&amp;B46&amp;" ("&amp;VLOOKUP(C46,База!$A$13:$B$17,2,0)&amp;" "&amp;D46&amp;" ур.)"&amp;IF(E46="у","[/strike] (цена реорганизации: "&amp;D46*База!$I$2&amp;")","")&amp;IF(D46&lt;AN46," (цена апгрейда: "&amp;(AN46-D46)*База!$I$3&amp;")",""),"")&amp;AM47</f>
        <v/>
      </c>
      <c r="AN46" s="135">
        <f t="shared" si="19"/>
        <v>0</v>
      </c>
      <c r="AO46" s="135">
        <f t="shared" si="20"/>
        <v>0</v>
      </c>
      <c r="AP46" s="135"/>
      <c r="AQ46" s="135" t="str">
        <f>IF((F46&lt;&gt;""),"[br]"&amp;IF(I46="у","[strike]","")&amp;$A46&amp;". "&amp;F46&amp;" ("&amp;VLOOKUP(G46,База!$A$13:$B$17,2,0)&amp;" "&amp;H46&amp;" ур.)"&amp;IF(I46="у","[/strike] (цена реорганизации: "&amp;H46*База!$I$2&amp;")","")&amp;IF(H46&lt;AR46," (цена апгрейда: "&amp;(AR46-H46)*База!$I$3&amp;")",""),"")&amp;AQ47</f>
        <v/>
      </c>
      <c r="AR46" s="135">
        <f t="shared" si="21"/>
        <v>0</v>
      </c>
      <c r="AS46" s="135">
        <f t="shared" si="22"/>
        <v>0</v>
      </c>
      <c r="AT46" s="135"/>
      <c r="AU46" s="135" t="str">
        <f>IF((J46&lt;&gt;""),"[br]"&amp;IF(M46="у","[strike]","")&amp;$A46&amp;". "&amp;J46&amp;" ("&amp;VLOOKUP(K46,База!$A$13:$B$17,2,0)&amp;" "&amp;L46&amp;" ур.)"&amp;IF(M46="у","[/strike] (цена реорганизации: "&amp;L46*База!$I$2&amp;")","")&amp;IF(L46&lt;AV46," (цена апгрейда: "&amp;(AV46-L46)*База!$I$3&amp;")",""),"")&amp;AU47</f>
        <v/>
      </c>
      <c r="AV46" s="135">
        <f t="shared" si="23"/>
        <v>0</v>
      </c>
      <c r="AW46" s="135">
        <f t="shared" si="24"/>
        <v>0</v>
      </c>
      <c r="AX46" s="135"/>
      <c r="AY46" s="135" t="str">
        <f>IF((N46&lt;&gt;""),"[br]"&amp;IF(Q46="у","[strike]","")&amp;$A46&amp;". "&amp;N46&amp;" ("&amp;VLOOKUP(O46,База!$A$13:$B$17,2,0)&amp;" "&amp;P46&amp;" ур.)"&amp;IF(Q46="у","[/strike] (цена реорганизации: "&amp;P46*База!$I$2&amp;")","")&amp;IF(P46&lt;AZ46," (цена апгрейда: "&amp;(AZ46-P46)*База!$I$3&amp;")",""),"")&amp;AY47</f>
        <v/>
      </c>
      <c r="AZ46" s="135">
        <f t="shared" si="25"/>
        <v>0</v>
      </c>
      <c r="BA46" s="135">
        <f t="shared" si="26"/>
        <v>0</v>
      </c>
      <c r="BB46" s="135"/>
      <c r="BC46" s="135" t="str">
        <f>IF((R46&lt;&gt;""),"[br]"&amp;IF(U46="у","[strike]","")&amp;$A46&amp;". "&amp;R46&amp;" ("&amp;VLOOKUP(S46,База!$A$13:$B$17,2,0)&amp;" "&amp;T46&amp;" ур.)"&amp;IF(U46="у","[/strike] (цена реорганизации: "&amp;T46*База!$I$2&amp;")","")&amp;IF(T46&lt;BD46," (цена апгрейда: "&amp;(BD46-T46)*База!$I$3&amp;")",""),"")&amp;BC47</f>
        <v>[br][strike]43. 17й РСЗО Донгфенг  (поддержка 4 ур.)[/strike] (цена реорганизации: 8)[br][strike]44. 5е аркебузиры (пехотное 3 ур.)[/strike] (цена реорганизации: 6)</v>
      </c>
      <c r="BD46" s="135">
        <f t="shared" si="27"/>
        <v>4</v>
      </c>
      <c r="BE46" s="135">
        <f t="shared" si="28"/>
        <v>0</v>
      </c>
      <c r="BF46" s="135"/>
      <c r="BG46" s="135" t="str">
        <f>IF((V46&lt;&gt;""),"[br]"&amp;IF(Y46="у","[strike]","")&amp;$A46&amp;". "&amp;V46&amp;" ("&amp;VLOOKUP(W46,База!$A$13:$B$17,2,0)&amp;" "&amp;X46&amp;" ур.)"&amp;IF(Y46="у","[/strike] (цена реорганизации: "&amp;X46*База!$I$2&amp;")","")&amp;IF(X46&lt;BH46," (цена апгрейда: "&amp;(BH46-X46)*База!$I$3&amp;")",""),"")&amp;BG47</f>
        <v/>
      </c>
      <c r="BH46" s="135">
        <f t="shared" si="29"/>
        <v>0</v>
      </c>
      <c r="BI46" s="135">
        <f t="shared" si="30"/>
        <v>0</v>
      </c>
      <c r="BJ46" s="135"/>
      <c r="BK46" s="135" t="str">
        <f>IF((Z46&lt;&gt;""),"[br]"&amp;IF(AC46="у","[strike]","")&amp;$A46&amp;". "&amp;Z46&amp;" ("&amp;VLOOKUP(AA46,База!$A$13:$B$17,2,0)&amp;" "&amp;AB46&amp;" ур.)"&amp;IF(AC46="у","[/strike] (цена реорганизации: "&amp;AB46*База!$I$2&amp;")","")&amp;IF(AB46&lt;BL46," (цена апгрейда: "&amp;(BL46-AB46)*База!$I$3&amp;")",""),"")&amp;BK47</f>
        <v/>
      </c>
      <c r="BL46" s="135">
        <f t="shared" si="31"/>
        <v>0</v>
      </c>
      <c r="BM46" s="135">
        <f t="shared" si="32"/>
        <v>0</v>
      </c>
      <c r="BN46" s="135"/>
      <c r="BO46" s="135" t="str">
        <f>IF((AD46&lt;&gt;""),"[br]"&amp;IF(AG46="у","[strike]","")&amp;$A46&amp;". "&amp;AD46&amp;" ("&amp;VLOOKUP(AE46,База!$A$13:$B$17,2,0)&amp;" "&amp;AF46&amp;" ур.)"&amp;IF(AG46="у","[/strike] (цена реорганизации: "&amp;AF46*База!$I$2&amp;")","")&amp;IF(AF46&lt;BP46," (цена апгрейда: "&amp;(BP46-AF46)*База!$I$3&amp;")",""),"")&amp;BO47</f>
        <v/>
      </c>
      <c r="BP46" s="135">
        <f t="shared" si="33"/>
        <v>0</v>
      </c>
      <c r="BQ46" s="135">
        <f t="shared" si="34"/>
        <v>0</v>
      </c>
    </row>
    <row r="47" spans="1:69" x14ac:dyDescent="0.25">
      <c r="A47">
        <v>44</v>
      </c>
      <c r="B47" s="63"/>
      <c r="C47" s="65"/>
      <c r="D47" s="65"/>
      <c r="E47" s="65"/>
      <c r="F47" s="48"/>
      <c r="G47" s="50"/>
      <c r="H47" s="50"/>
      <c r="I47" s="50"/>
      <c r="J47" s="66"/>
      <c r="K47" s="68"/>
      <c r="L47" s="68"/>
      <c r="M47" s="68"/>
      <c r="N47" s="58"/>
      <c r="O47" s="60"/>
      <c r="P47" s="60"/>
      <c r="Q47" s="60"/>
      <c r="R47" s="72" t="s">
        <v>604</v>
      </c>
      <c r="S47" s="289" t="s">
        <v>153</v>
      </c>
      <c r="T47" s="289">
        <v>3</v>
      </c>
      <c r="U47" s="289" t="s">
        <v>155</v>
      </c>
      <c r="V47" s="69"/>
      <c r="W47" s="265"/>
      <c r="X47" s="265"/>
      <c r="Y47" s="278"/>
      <c r="Z47" s="26"/>
      <c r="AA47" s="279"/>
      <c r="AB47" s="279"/>
      <c r="AC47" s="279"/>
      <c r="AD47" s="53"/>
      <c r="AE47" s="55"/>
      <c r="AF47" s="55"/>
      <c r="AG47" s="55"/>
      <c r="AI47" s="72"/>
      <c r="AJ47" s="289"/>
      <c r="AK47" s="289"/>
      <c r="AL47" s="289"/>
      <c r="AM47" s="135" t="str">
        <f>IF((B47&lt;&gt;""),"[br]"&amp;IF(E47="у","[strike]","")&amp;$A47&amp;". "&amp;B47&amp;" ("&amp;VLOOKUP(C47,База!$A$13:$B$17,2,0)&amp;" "&amp;D47&amp;" ур.)"&amp;IF(E47="у","[/strike] (цена реорганизации: "&amp;D47*База!$I$2&amp;")","")&amp;IF(D47&lt;AN47," (цена апгрейда: "&amp;(AN47-D47)*База!$I$3&amp;")",""),"")&amp;AM48</f>
        <v/>
      </c>
      <c r="AN47" s="135">
        <f t="shared" si="19"/>
        <v>0</v>
      </c>
      <c r="AO47" s="135">
        <f t="shared" si="20"/>
        <v>0</v>
      </c>
      <c r="AP47" s="135"/>
      <c r="AQ47" s="135" t="str">
        <f>IF((F47&lt;&gt;""),"[br]"&amp;IF(I47="у","[strike]","")&amp;$A47&amp;". "&amp;F47&amp;" ("&amp;VLOOKUP(G47,База!$A$13:$B$17,2,0)&amp;" "&amp;H47&amp;" ур.)"&amp;IF(I47="у","[/strike] (цена реорганизации: "&amp;H47*База!$I$2&amp;")","")&amp;IF(H47&lt;AR47," (цена апгрейда: "&amp;(AR47-H47)*База!$I$3&amp;")",""),"")&amp;AQ48</f>
        <v/>
      </c>
      <c r="AR47" s="135">
        <f t="shared" si="21"/>
        <v>0</v>
      </c>
      <c r="AS47" s="135">
        <f t="shared" si="22"/>
        <v>0</v>
      </c>
      <c r="AT47" s="135"/>
      <c r="AU47" s="135" t="str">
        <f>IF((J47&lt;&gt;""),"[br]"&amp;IF(M47="у","[strike]","")&amp;$A47&amp;". "&amp;J47&amp;" ("&amp;VLOOKUP(K47,База!$A$13:$B$17,2,0)&amp;" "&amp;L47&amp;" ур.)"&amp;IF(M47="у","[/strike] (цена реорганизации: "&amp;L47*База!$I$2&amp;")","")&amp;IF(L47&lt;AV47," (цена апгрейда: "&amp;(AV47-L47)*База!$I$3&amp;")",""),"")&amp;AU48</f>
        <v/>
      </c>
      <c r="AV47" s="135">
        <f t="shared" si="23"/>
        <v>0</v>
      </c>
      <c r="AW47" s="135">
        <f t="shared" si="24"/>
        <v>0</v>
      </c>
      <c r="AX47" s="135"/>
      <c r="AY47" s="135" t="str">
        <f>IF((N47&lt;&gt;""),"[br]"&amp;IF(Q47="у","[strike]","")&amp;$A47&amp;". "&amp;N47&amp;" ("&amp;VLOOKUP(O47,База!$A$13:$B$17,2,0)&amp;" "&amp;P47&amp;" ур.)"&amp;IF(Q47="у","[/strike] (цена реорганизации: "&amp;P47*База!$I$2&amp;")","")&amp;IF(P47&lt;AZ47," (цена апгрейда: "&amp;(AZ47-P47)*База!$I$3&amp;")",""),"")&amp;AY48</f>
        <v/>
      </c>
      <c r="AZ47" s="135">
        <f t="shared" si="25"/>
        <v>0</v>
      </c>
      <c r="BA47" s="135">
        <f t="shared" si="26"/>
        <v>0</v>
      </c>
      <c r="BB47" s="135"/>
      <c r="BC47" s="135" t="str">
        <f>IF((R47&lt;&gt;""),"[br]"&amp;IF(U47="у","[strike]","")&amp;$A47&amp;". "&amp;R47&amp;" ("&amp;VLOOKUP(S47,База!$A$13:$B$17,2,0)&amp;" "&amp;T47&amp;" ур.)"&amp;IF(U47="у","[/strike] (цена реорганизации: "&amp;T47*База!$I$2&amp;")","")&amp;IF(T47&lt;BD47," (цена апгрейда: "&amp;(BD47-T47)*База!$I$3&amp;")",""),"")&amp;BC48</f>
        <v>[br][strike]44. 5е аркебузиры (пехотное 3 ур.)[/strike] (цена реорганизации: 6)</v>
      </c>
      <c r="BD47" s="135">
        <f t="shared" si="27"/>
        <v>3</v>
      </c>
      <c r="BE47" s="135">
        <f t="shared" si="28"/>
        <v>0</v>
      </c>
      <c r="BF47" s="135"/>
      <c r="BG47" s="135" t="str">
        <f>IF((V47&lt;&gt;""),"[br]"&amp;IF(Y47="у","[strike]","")&amp;$A47&amp;". "&amp;V47&amp;" ("&amp;VLOOKUP(W47,База!$A$13:$B$17,2,0)&amp;" "&amp;X47&amp;" ур.)"&amp;IF(Y47="у","[/strike] (цена реорганизации: "&amp;X47*База!$I$2&amp;")","")&amp;IF(X47&lt;BH47," (цена апгрейда: "&amp;(BH47-X47)*База!$I$3&amp;")",""),"")&amp;BG48</f>
        <v/>
      </c>
      <c r="BH47" s="135">
        <f t="shared" si="29"/>
        <v>0</v>
      </c>
      <c r="BI47" s="135">
        <f t="shared" si="30"/>
        <v>0</v>
      </c>
      <c r="BJ47" s="135"/>
      <c r="BK47" s="135" t="str">
        <f>IF((Z47&lt;&gt;""),"[br]"&amp;IF(AC47="у","[strike]","")&amp;$A47&amp;". "&amp;Z47&amp;" ("&amp;VLOOKUP(AA47,База!$A$13:$B$17,2,0)&amp;" "&amp;AB47&amp;" ур.)"&amp;IF(AC47="у","[/strike] (цена реорганизации: "&amp;AB47*База!$I$2&amp;")","")&amp;IF(AB47&lt;BL47," (цена апгрейда: "&amp;(BL47-AB47)*База!$I$3&amp;")",""),"")&amp;BK48</f>
        <v/>
      </c>
      <c r="BL47" s="135">
        <f t="shared" si="31"/>
        <v>0</v>
      </c>
      <c r="BM47" s="135">
        <f t="shared" si="32"/>
        <v>0</v>
      </c>
      <c r="BN47" s="135"/>
      <c r="BO47" s="135" t="str">
        <f>IF((AD47&lt;&gt;""),"[br]"&amp;IF(AG47="у","[strike]","")&amp;$A47&amp;". "&amp;AD47&amp;" ("&amp;VLOOKUP(AE47,База!$A$13:$B$17,2,0)&amp;" "&amp;AF47&amp;" ур.)"&amp;IF(AG47="у","[/strike] (цена реорганизации: "&amp;AF47*База!$I$2&amp;")","")&amp;IF(AF47&lt;BP47," (цена апгрейда: "&amp;(BP47-AF47)*База!$I$3&amp;")",""),"")&amp;BO48</f>
        <v/>
      </c>
      <c r="BP47" s="135">
        <f t="shared" si="33"/>
        <v>0</v>
      </c>
      <c r="BQ47" s="135">
        <f t="shared" si="34"/>
        <v>0</v>
      </c>
    </row>
    <row r="48" spans="1:69" x14ac:dyDescent="0.25">
      <c r="A48">
        <v>45</v>
      </c>
      <c r="B48" s="63"/>
      <c r="C48" s="65"/>
      <c r="D48" s="65"/>
      <c r="E48" s="65"/>
      <c r="F48" s="48"/>
      <c r="G48" s="50"/>
      <c r="H48" s="50"/>
      <c r="I48" s="50"/>
      <c r="J48" s="66"/>
      <c r="K48" s="68"/>
      <c r="L48" s="68"/>
      <c r="M48" s="68"/>
      <c r="N48" s="58"/>
      <c r="O48" s="60"/>
      <c r="P48" s="60"/>
      <c r="Q48" s="60"/>
      <c r="R48" s="72"/>
      <c r="S48" s="269"/>
      <c r="T48" s="269"/>
      <c r="U48" s="269"/>
      <c r="V48" s="69"/>
      <c r="W48" s="265"/>
      <c r="X48" s="265"/>
      <c r="Y48" s="278"/>
      <c r="Z48" s="26"/>
      <c r="AA48" s="279"/>
      <c r="AB48" s="279"/>
      <c r="AC48" s="279"/>
      <c r="AD48" s="53"/>
      <c r="AE48" s="55"/>
      <c r="AF48" s="55"/>
      <c r="AG48" s="55"/>
      <c r="AM48" s="135" t="str">
        <f>IF((B48&lt;&gt;""),"[br]"&amp;IF(E48="у","[strike]","")&amp;$A48&amp;". "&amp;B48&amp;" ("&amp;VLOOKUP(C48,База!$A$13:$B$17,2,0)&amp;" "&amp;D48&amp;" ур.)"&amp;IF(E48="у","[/strike] (цена реорганизации: "&amp;D48*База!$I$2&amp;")","")&amp;IF(D48&lt;AN48," (цена апгрейда: "&amp;(AN48-D48)*База!$I$3&amp;")",""),"")&amp;AM49</f>
        <v/>
      </c>
      <c r="AN48" s="135">
        <f t="shared" si="19"/>
        <v>0</v>
      </c>
      <c r="AO48" s="135">
        <f t="shared" si="20"/>
        <v>0</v>
      </c>
      <c r="AP48" s="135"/>
      <c r="AQ48" s="135" t="str">
        <f>IF((F48&lt;&gt;""),"[br]"&amp;IF(I48="у","[strike]","")&amp;$A48&amp;". "&amp;F48&amp;" ("&amp;VLOOKUP(G48,База!$A$13:$B$17,2,0)&amp;" "&amp;H48&amp;" ур.)"&amp;IF(I48="у","[/strike] (цена реорганизации: "&amp;H48*База!$I$2&amp;")","")&amp;IF(H48&lt;AR48," (цена апгрейда: "&amp;(AR48-H48)*База!$I$3&amp;")",""),"")&amp;AQ49</f>
        <v/>
      </c>
      <c r="AR48" s="135">
        <f t="shared" si="21"/>
        <v>0</v>
      </c>
      <c r="AS48" s="135">
        <f t="shared" si="22"/>
        <v>0</v>
      </c>
      <c r="AT48" s="135"/>
      <c r="AU48" s="135" t="str">
        <f>IF((J48&lt;&gt;""),"[br]"&amp;IF(M48="у","[strike]","")&amp;$A48&amp;". "&amp;J48&amp;" ("&amp;VLOOKUP(K48,База!$A$13:$B$17,2,0)&amp;" "&amp;L48&amp;" ур.)"&amp;IF(M48="у","[/strike] (цена реорганизации: "&amp;L48*База!$I$2&amp;")","")&amp;IF(L48&lt;AV48," (цена апгрейда: "&amp;(AV48-L48)*База!$I$3&amp;")",""),"")&amp;AU49</f>
        <v/>
      </c>
      <c r="AV48" s="135">
        <f t="shared" si="23"/>
        <v>0</v>
      </c>
      <c r="AW48" s="135">
        <f t="shared" si="24"/>
        <v>0</v>
      </c>
      <c r="AX48" s="135"/>
      <c r="AY48" s="135" t="str">
        <f>IF((N48&lt;&gt;""),"[br]"&amp;IF(Q48="у","[strike]","")&amp;$A48&amp;". "&amp;N48&amp;" ("&amp;VLOOKUP(O48,База!$A$13:$B$17,2,0)&amp;" "&amp;P48&amp;" ур.)"&amp;IF(Q48="у","[/strike] (цена реорганизации: "&amp;P48*База!$I$2&amp;")","")&amp;IF(P48&lt;AZ48," (цена апгрейда: "&amp;(AZ48-P48)*База!$I$3&amp;")",""),"")&amp;AY49</f>
        <v/>
      </c>
      <c r="AZ48" s="135">
        <f t="shared" si="25"/>
        <v>0</v>
      </c>
      <c r="BA48" s="135">
        <f t="shared" si="26"/>
        <v>0</v>
      </c>
      <c r="BB48" s="135"/>
      <c r="BC48" s="135" t="str">
        <f>IF((R48&lt;&gt;""),"[br]"&amp;IF(U48="у","[strike]","")&amp;$A48&amp;". "&amp;R48&amp;" ("&amp;VLOOKUP(S48,База!$A$13:$B$17,2,0)&amp;" "&amp;T48&amp;" ур.)"&amp;IF(U48="у","[/strike] (цена реорганизации: "&amp;T48*База!$I$2&amp;")","")&amp;IF(T48&lt;BD48," (цена апгрейда: "&amp;(BD48-T48)*База!$I$3&amp;")",""),"")&amp;BC49</f>
        <v/>
      </c>
      <c r="BD48" s="135">
        <f t="shared" si="27"/>
        <v>0</v>
      </c>
      <c r="BE48" s="135">
        <f t="shared" si="28"/>
        <v>0</v>
      </c>
      <c r="BF48" s="135"/>
      <c r="BG48" s="135" t="str">
        <f>IF((V48&lt;&gt;""),"[br]"&amp;IF(Y48="у","[strike]","")&amp;$A48&amp;". "&amp;V48&amp;" ("&amp;VLOOKUP(W48,База!$A$13:$B$17,2,0)&amp;" "&amp;X48&amp;" ур.)"&amp;IF(Y48="у","[/strike] (цена реорганизации: "&amp;X48*База!$I$2&amp;")","")&amp;IF(X48&lt;BH48," (цена апгрейда: "&amp;(BH48-X48)*База!$I$3&amp;")",""),"")&amp;BG49</f>
        <v/>
      </c>
      <c r="BH48" s="135">
        <f t="shared" si="29"/>
        <v>0</v>
      </c>
      <c r="BI48" s="135">
        <f t="shared" si="30"/>
        <v>0</v>
      </c>
      <c r="BJ48" s="135"/>
      <c r="BK48" s="135" t="str">
        <f>IF((Z48&lt;&gt;""),"[br]"&amp;IF(AC48="у","[strike]","")&amp;$A48&amp;". "&amp;Z48&amp;" ("&amp;VLOOKUP(AA48,База!$A$13:$B$17,2,0)&amp;" "&amp;AB48&amp;" ур.)"&amp;IF(AC48="у","[/strike] (цена реорганизации: "&amp;AB48*База!$I$2&amp;")","")&amp;IF(AB48&lt;BL48," (цена апгрейда: "&amp;(BL48-AB48)*База!$I$3&amp;")",""),"")&amp;BK49</f>
        <v/>
      </c>
      <c r="BL48" s="135">
        <f t="shared" si="31"/>
        <v>0</v>
      </c>
      <c r="BM48" s="135">
        <f t="shared" si="32"/>
        <v>0</v>
      </c>
      <c r="BN48" s="135"/>
      <c r="BO48" s="135" t="str">
        <f>IF((AD48&lt;&gt;""),"[br]"&amp;IF(AG48="у","[strike]","")&amp;$A48&amp;". "&amp;AD48&amp;" ("&amp;VLOOKUP(AE48,База!$A$13:$B$17,2,0)&amp;" "&amp;AF48&amp;" ур.)"&amp;IF(AG48="у","[/strike] (цена реорганизации: "&amp;AF48*База!$I$2&amp;")","")&amp;IF(AF48&lt;BP48," (цена апгрейда: "&amp;(BP48-AF48)*База!$I$3&amp;")",""),"")&amp;BO49</f>
        <v/>
      </c>
      <c r="BP48" s="135">
        <f t="shared" si="33"/>
        <v>0</v>
      </c>
      <c r="BQ48" s="135">
        <f t="shared" si="34"/>
        <v>0</v>
      </c>
    </row>
    <row r="49" spans="1:69" x14ac:dyDescent="0.25">
      <c r="A49">
        <v>46</v>
      </c>
      <c r="B49" s="63"/>
      <c r="C49" s="65"/>
      <c r="D49" s="65"/>
      <c r="E49" s="65"/>
      <c r="F49" s="48"/>
      <c r="G49" s="50"/>
      <c r="H49" s="50"/>
      <c r="I49" s="50"/>
      <c r="J49" s="66"/>
      <c r="K49" s="68"/>
      <c r="L49" s="68"/>
      <c r="M49" s="68"/>
      <c r="N49" s="58"/>
      <c r="O49" s="60"/>
      <c r="P49" s="60"/>
      <c r="Q49" s="60"/>
      <c r="R49" s="72"/>
      <c r="S49" s="284"/>
      <c r="T49" s="284"/>
      <c r="U49" s="284"/>
      <c r="V49" s="69"/>
      <c r="W49" s="265"/>
      <c r="X49" s="265"/>
      <c r="Y49" s="265"/>
      <c r="Z49" s="26"/>
      <c r="AA49" s="28"/>
      <c r="AB49" s="28"/>
      <c r="AC49" s="28"/>
      <c r="AD49" s="53"/>
      <c r="AE49" s="55"/>
      <c r="AF49" s="55"/>
      <c r="AG49" s="55"/>
      <c r="AM49" s="135" t="str">
        <f>IF((B49&lt;&gt;""),"[br]"&amp;IF(E49="у","[strike]","")&amp;$A49&amp;". "&amp;B49&amp;" ("&amp;VLOOKUP(C49,База!$A$13:$B$17,2,0)&amp;" "&amp;D49&amp;" ур.)"&amp;IF(E49="у","[/strike] (цена реорганизации: "&amp;D49*База!$I$2&amp;")","")&amp;IF(D49&lt;AN49," (цена апгрейда: "&amp;(AN49-D49)*База!$I$3&amp;")",""),"")&amp;AM50</f>
        <v/>
      </c>
      <c r="AN49" s="135">
        <f t="shared" si="19"/>
        <v>0</v>
      </c>
      <c r="AO49" s="135">
        <f t="shared" si="20"/>
        <v>0</v>
      </c>
      <c r="AP49" s="135"/>
      <c r="AQ49" s="135" t="str">
        <f>IF((F49&lt;&gt;""),"[br]"&amp;IF(I49="у","[strike]","")&amp;$A49&amp;". "&amp;F49&amp;" ("&amp;VLOOKUP(G49,База!$A$13:$B$17,2,0)&amp;" "&amp;H49&amp;" ур.)"&amp;IF(I49="у","[/strike] (цена реорганизации: "&amp;H49*База!$I$2&amp;")","")&amp;IF(H49&lt;AR49," (цена апгрейда: "&amp;(AR49-H49)*База!$I$3&amp;")",""),"")&amp;AQ50</f>
        <v/>
      </c>
      <c r="AR49" s="135">
        <f t="shared" si="21"/>
        <v>0</v>
      </c>
      <c r="AS49" s="135">
        <f t="shared" si="22"/>
        <v>0</v>
      </c>
      <c r="AT49" s="135"/>
      <c r="AU49" s="135" t="str">
        <f>IF((J49&lt;&gt;""),"[br]"&amp;IF(M49="у","[strike]","")&amp;$A49&amp;". "&amp;J49&amp;" ("&amp;VLOOKUP(K49,База!$A$13:$B$17,2,0)&amp;" "&amp;L49&amp;" ур.)"&amp;IF(M49="у","[/strike] (цена реорганизации: "&amp;L49*База!$I$2&amp;")","")&amp;IF(L49&lt;AV49," (цена апгрейда: "&amp;(AV49-L49)*База!$I$3&amp;")",""),"")&amp;AU50</f>
        <v/>
      </c>
      <c r="AV49" s="135">
        <f t="shared" si="23"/>
        <v>0</v>
      </c>
      <c r="AW49" s="135">
        <f t="shared" si="24"/>
        <v>0</v>
      </c>
      <c r="AX49" s="135"/>
      <c r="AY49" s="135" t="str">
        <f>IF((N49&lt;&gt;""),"[br]"&amp;IF(Q49="у","[strike]","")&amp;$A49&amp;". "&amp;N49&amp;" ("&amp;VLOOKUP(O49,База!$A$13:$B$17,2,0)&amp;" "&amp;P49&amp;" ур.)"&amp;IF(Q49="у","[/strike] (цена реорганизации: "&amp;P49*База!$I$2&amp;")","")&amp;IF(P49&lt;AZ49," (цена апгрейда: "&amp;(AZ49-P49)*База!$I$3&amp;")",""),"")&amp;AY50</f>
        <v/>
      </c>
      <c r="AZ49" s="135">
        <f t="shared" si="25"/>
        <v>0</v>
      </c>
      <c r="BA49" s="135">
        <f t="shared" si="26"/>
        <v>0</v>
      </c>
      <c r="BB49" s="135"/>
      <c r="BC49" s="135" t="str">
        <f>IF((R49&lt;&gt;""),"[br]"&amp;IF(U49="у","[strike]","")&amp;$A49&amp;". "&amp;R49&amp;" ("&amp;VLOOKUP(S49,База!$A$13:$B$17,2,0)&amp;" "&amp;T49&amp;" ур.)"&amp;IF(U49="у","[/strike] (цена реорганизации: "&amp;T49*База!$I$2&amp;")","")&amp;IF(T49&lt;BD49," (цена апгрейда: "&amp;(BD49-T49)*База!$I$3&amp;")",""),"")&amp;BC50</f>
        <v/>
      </c>
      <c r="BD49" s="135">
        <f t="shared" si="27"/>
        <v>0</v>
      </c>
      <c r="BE49" s="135">
        <f t="shared" si="28"/>
        <v>0</v>
      </c>
      <c r="BF49" s="135"/>
      <c r="BG49" s="135" t="str">
        <f>IF((V49&lt;&gt;""),"[br]"&amp;IF(Y49="у","[strike]","")&amp;$A49&amp;". "&amp;V49&amp;" ("&amp;VLOOKUP(W49,База!$A$13:$B$17,2,0)&amp;" "&amp;X49&amp;" ур.)"&amp;IF(Y49="у","[/strike] (цена реорганизации: "&amp;X49*База!$I$2&amp;")","")&amp;IF(X49&lt;BH49," (цена апгрейда: "&amp;(BH49-X49)*База!$I$3&amp;")",""),"")&amp;BG50</f>
        <v/>
      </c>
      <c r="BH49" s="135">
        <f t="shared" si="29"/>
        <v>0</v>
      </c>
      <c r="BI49" s="135">
        <f t="shared" si="30"/>
        <v>0</v>
      </c>
      <c r="BJ49" s="135"/>
      <c r="BK49" s="135" t="str">
        <f>IF((Z49&lt;&gt;""),"[br]"&amp;IF(AC49="у","[strike]","")&amp;$A49&amp;". "&amp;Z49&amp;" ("&amp;VLOOKUP(AA49,База!$A$13:$B$17,2,0)&amp;" "&amp;AB49&amp;" ур.)"&amp;IF(AC49="у","[/strike] (цена реорганизации: "&amp;AB49*База!$I$2&amp;")","")&amp;IF(AB49&lt;BL49," (цена апгрейда: "&amp;(BL49-AB49)*База!$I$3&amp;")",""),"")&amp;BK50</f>
        <v/>
      </c>
      <c r="BL49" s="135">
        <f t="shared" si="31"/>
        <v>0</v>
      </c>
      <c r="BM49" s="135">
        <f t="shared" si="32"/>
        <v>0</v>
      </c>
      <c r="BN49" s="135"/>
      <c r="BO49" s="135" t="str">
        <f>IF((AD49&lt;&gt;""),"[br]"&amp;IF(AG49="у","[strike]","")&amp;$A49&amp;". "&amp;AD49&amp;" ("&amp;VLOOKUP(AE49,База!$A$13:$B$17,2,0)&amp;" "&amp;AF49&amp;" ур.)"&amp;IF(AG49="у","[/strike] (цена реорганизации: "&amp;AF49*База!$I$2&amp;")","")&amp;IF(AF49&lt;BP49," (цена апгрейда: "&amp;(BP49-AF49)*База!$I$3&amp;")",""),"")&amp;BO50</f>
        <v/>
      </c>
      <c r="BP49" s="135">
        <f t="shared" si="33"/>
        <v>0</v>
      </c>
      <c r="BQ49" s="135">
        <f t="shared" si="34"/>
        <v>0</v>
      </c>
    </row>
    <row r="50" spans="1:69" x14ac:dyDescent="0.25">
      <c r="A50">
        <v>47</v>
      </c>
      <c r="B50" s="63"/>
      <c r="C50" s="65"/>
      <c r="D50" s="65"/>
      <c r="E50" s="65"/>
      <c r="F50" s="48"/>
      <c r="G50" s="50"/>
      <c r="H50" s="50"/>
      <c r="I50" s="50"/>
      <c r="J50" s="66"/>
      <c r="K50" s="68"/>
      <c r="L50" s="68"/>
      <c r="M50" s="68"/>
      <c r="N50" s="58"/>
      <c r="O50" s="60"/>
      <c r="P50" s="60"/>
      <c r="Q50" s="60"/>
      <c r="R50" s="72"/>
      <c r="S50" s="74"/>
      <c r="T50" s="74"/>
      <c r="U50" s="74"/>
      <c r="V50" s="69"/>
      <c r="W50" s="71"/>
      <c r="X50" s="71"/>
      <c r="Y50" s="71"/>
      <c r="Z50" s="26"/>
      <c r="AA50" s="28"/>
      <c r="AB50" s="28"/>
      <c r="AC50" s="28"/>
      <c r="AD50" s="53"/>
      <c r="AE50" s="55"/>
      <c r="AF50" s="55"/>
      <c r="AG50" s="55"/>
      <c r="AM50" s="135" t="str">
        <f>IF((B50&lt;&gt;""),"[br]"&amp;IF(E50="у","[strike]","")&amp;$A50&amp;". "&amp;B50&amp;" ("&amp;VLOOKUP(C50,База!$A$13:$B$17,2,0)&amp;" "&amp;D50&amp;" ур.)"&amp;IF(E50="у","[/strike] (цена реорганизации: "&amp;D50*База!$I$2&amp;")","")&amp;IF(D50&lt;AN50," (цена апгрейда: "&amp;(AN50-D50)*База!$I$3&amp;")",""),"")&amp;AM51</f>
        <v/>
      </c>
      <c r="AN50" s="135">
        <f t="shared" si="19"/>
        <v>0</v>
      </c>
      <c r="AO50" s="135">
        <f t="shared" si="20"/>
        <v>0</v>
      </c>
      <c r="AP50" s="135"/>
      <c r="AQ50" s="135" t="str">
        <f>IF((F50&lt;&gt;""),"[br]"&amp;IF(I50="у","[strike]","")&amp;$A50&amp;". "&amp;F50&amp;" ("&amp;VLOOKUP(G50,База!$A$13:$B$17,2,0)&amp;" "&amp;H50&amp;" ур.)"&amp;IF(I50="у","[/strike] (цена реорганизации: "&amp;H50*База!$I$2&amp;")","")&amp;IF(H50&lt;AR50," (цена апгрейда: "&amp;(AR50-H50)*База!$I$3&amp;")",""),"")&amp;AQ51</f>
        <v/>
      </c>
      <c r="AR50" s="135">
        <f t="shared" si="21"/>
        <v>0</v>
      </c>
      <c r="AS50" s="135">
        <f t="shared" si="22"/>
        <v>0</v>
      </c>
      <c r="AT50" s="135"/>
      <c r="AU50" s="135" t="str">
        <f>IF((J50&lt;&gt;""),"[br]"&amp;IF(M50="у","[strike]","")&amp;$A50&amp;". "&amp;J50&amp;" ("&amp;VLOOKUP(K50,База!$A$13:$B$17,2,0)&amp;" "&amp;L50&amp;" ур.)"&amp;IF(M50="у","[/strike] (цена реорганизации: "&amp;L50*База!$I$2&amp;")","")&amp;IF(L50&lt;AV50," (цена апгрейда: "&amp;(AV50-L50)*База!$I$3&amp;")",""),"")&amp;AU51</f>
        <v/>
      </c>
      <c r="AV50" s="135">
        <f t="shared" si="23"/>
        <v>0</v>
      </c>
      <c r="AW50" s="135">
        <f t="shared" si="24"/>
        <v>0</v>
      </c>
      <c r="AX50" s="135"/>
      <c r="AY50" s="135" t="str">
        <f>IF((N50&lt;&gt;""),"[br]"&amp;IF(Q50="у","[strike]","")&amp;$A50&amp;". "&amp;N50&amp;" ("&amp;VLOOKUP(O50,База!$A$13:$B$17,2,0)&amp;" "&amp;P50&amp;" ур.)"&amp;IF(Q50="у","[/strike] (цена реорганизации: "&amp;P50*База!$I$2&amp;")","")&amp;IF(P50&lt;AZ50," (цена апгрейда: "&amp;(AZ50-P50)*База!$I$3&amp;")",""),"")&amp;AY51</f>
        <v/>
      </c>
      <c r="AZ50" s="135">
        <f t="shared" si="25"/>
        <v>0</v>
      </c>
      <c r="BA50" s="135">
        <f t="shared" si="26"/>
        <v>0</v>
      </c>
      <c r="BB50" s="135"/>
      <c r="BC50" s="135" t="str">
        <f>IF((R50&lt;&gt;""),"[br]"&amp;IF(U50="у","[strike]","")&amp;$A50&amp;". "&amp;R50&amp;" ("&amp;VLOOKUP(S50,База!$A$13:$B$17,2,0)&amp;" "&amp;T50&amp;" ур.)"&amp;IF(U50="у","[/strike] (цена реорганизации: "&amp;T50*База!$I$2&amp;")","")&amp;IF(T50&lt;BD50," (цена апгрейда: "&amp;(BD50-T50)*База!$I$3&amp;")",""),"")&amp;BC51</f>
        <v/>
      </c>
      <c r="BD50" s="135">
        <f t="shared" si="27"/>
        <v>0</v>
      </c>
      <c r="BE50" s="135">
        <f t="shared" si="28"/>
        <v>0</v>
      </c>
      <c r="BF50" s="135"/>
      <c r="BG50" s="135" t="str">
        <f>IF((V50&lt;&gt;""),"[br]"&amp;IF(Y50="у","[strike]","")&amp;$A50&amp;". "&amp;V50&amp;" ("&amp;VLOOKUP(W50,База!$A$13:$B$17,2,0)&amp;" "&amp;X50&amp;" ур.)"&amp;IF(Y50="у","[/strike] (цена реорганизации: "&amp;X50*База!$I$2&amp;")","")&amp;IF(X50&lt;BH50," (цена апгрейда: "&amp;(BH50-X50)*База!$I$3&amp;")",""),"")&amp;BG51</f>
        <v/>
      </c>
      <c r="BH50" s="135">
        <f t="shared" si="29"/>
        <v>0</v>
      </c>
      <c r="BI50" s="135">
        <f t="shared" si="30"/>
        <v>0</v>
      </c>
      <c r="BJ50" s="135"/>
      <c r="BK50" s="135" t="str">
        <f>IF((Z50&lt;&gt;""),"[br]"&amp;IF(AC50="у","[strike]","")&amp;$A50&amp;". "&amp;Z50&amp;" ("&amp;VLOOKUP(AA50,База!$A$13:$B$17,2,0)&amp;" "&amp;AB50&amp;" ур.)"&amp;IF(AC50="у","[/strike] (цена реорганизации: "&amp;AB50*База!$I$2&amp;")","")&amp;IF(AB50&lt;BL50," (цена апгрейда: "&amp;(BL50-AB50)*База!$I$3&amp;")",""),"")&amp;BK51</f>
        <v/>
      </c>
      <c r="BL50" s="135">
        <f t="shared" si="31"/>
        <v>0</v>
      </c>
      <c r="BM50" s="135">
        <f t="shared" si="32"/>
        <v>0</v>
      </c>
      <c r="BN50" s="135"/>
      <c r="BO50" s="135" t="str">
        <f>IF((AD50&lt;&gt;""),"[br]"&amp;IF(AG50="у","[strike]","")&amp;$A50&amp;". "&amp;AD50&amp;" ("&amp;VLOOKUP(AE50,База!$A$13:$B$17,2,0)&amp;" "&amp;AF50&amp;" ур.)"&amp;IF(AG50="у","[/strike] (цена реорганизации: "&amp;AF50*База!$I$2&amp;")","")&amp;IF(AF50&lt;BP50," (цена апгрейда: "&amp;(BP50-AF50)*База!$I$3&amp;")",""),"")&amp;BO51</f>
        <v/>
      </c>
      <c r="BP50" s="135">
        <f t="shared" si="33"/>
        <v>0</v>
      </c>
      <c r="BQ50" s="135">
        <f t="shared" si="34"/>
        <v>0</v>
      </c>
    </row>
    <row r="51" spans="1:69" x14ac:dyDescent="0.25">
      <c r="A51">
        <v>48</v>
      </c>
      <c r="B51" s="63"/>
      <c r="C51" s="65"/>
      <c r="D51" s="65"/>
      <c r="E51" s="65"/>
      <c r="F51" s="48"/>
      <c r="G51" s="50"/>
      <c r="H51" s="50"/>
      <c r="I51" s="50"/>
      <c r="J51" s="66"/>
      <c r="K51" s="68"/>
      <c r="L51" s="68"/>
      <c r="M51" s="68"/>
      <c r="N51" s="58"/>
      <c r="O51" s="60"/>
      <c r="P51" s="60"/>
      <c r="Q51" s="60"/>
      <c r="R51" s="72"/>
      <c r="S51" s="284"/>
      <c r="T51" s="284"/>
      <c r="U51" s="284"/>
      <c r="V51" s="69"/>
      <c r="W51" s="71"/>
      <c r="X51" s="71"/>
      <c r="Y51" s="71"/>
      <c r="Z51" s="26"/>
      <c r="AA51" s="28"/>
      <c r="AB51" s="28"/>
      <c r="AC51" s="28"/>
      <c r="AD51" s="53"/>
      <c r="AE51" s="55"/>
      <c r="AF51" s="55"/>
      <c r="AG51" s="55"/>
      <c r="AM51" s="135" t="str">
        <f>IF((B51&lt;&gt;""),"[br]"&amp;IF(E51="у","[strike]","")&amp;$A51&amp;". "&amp;B51&amp;" ("&amp;VLOOKUP(C51,База!$A$13:$B$17,2,0)&amp;" "&amp;D51&amp;" ур.)"&amp;IF(E51="у","[/strike] (цена реорганизации: "&amp;D51*База!$I$2&amp;")","")&amp;IF(D51&lt;AN51," (цена апгрейда: "&amp;(AN51-D51)*База!$I$3&amp;")",""),"")&amp;AM52</f>
        <v/>
      </c>
      <c r="AN51" s="135">
        <f t="shared" si="19"/>
        <v>0</v>
      </c>
      <c r="AO51" s="135">
        <f t="shared" si="20"/>
        <v>0</v>
      </c>
      <c r="AP51" s="135"/>
      <c r="AQ51" s="135" t="str">
        <f>IF((F51&lt;&gt;""),"[br]"&amp;IF(I51="у","[strike]","")&amp;$A51&amp;". "&amp;F51&amp;" ("&amp;VLOOKUP(G51,База!$A$13:$B$17,2,0)&amp;" "&amp;H51&amp;" ур.)"&amp;IF(I51="у","[/strike] (цена реорганизации: "&amp;H51*База!$I$2&amp;")","")&amp;IF(H51&lt;AR51," (цена апгрейда: "&amp;(AR51-H51)*База!$I$3&amp;")",""),"")&amp;AQ52</f>
        <v/>
      </c>
      <c r="AR51" s="135">
        <f t="shared" si="21"/>
        <v>0</v>
      </c>
      <c r="AS51" s="135">
        <f t="shared" si="22"/>
        <v>0</v>
      </c>
      <c r="AT51" s="135"/>
      <c r="AU51" s="135" t="str">
        <f>IF((J51&lt;&gt;""),"[br]"&amp;IF(M51="у","[strike]","")&amp;$A51&amp;". "&amp;J51&amp;" ("&amp;VLOOKUP(K51,База!$A$13:$B$17,2,0)&amp;" "&amp;L51&amp;" ур.)"&amp;IF(M51="у","[/strike] (цена реорганизации: "&amp;L51*База!$I$2&amp;")","")&amp;IF(L51&lt;AV51," (цена апгрейда: "&amp;(AV51-L51)*База!$I$3&amp;")",""),"")&amp;AU52</f>
        <v/>
      </c>
      <c r="AV51" s="135">
        <f t="shared" si="23"/>
        <v>0</v>
      </c>
      <c r="AW51" s="135">
        <f t="shared" si="24"/>
        <v>0</v>
      </c>
      <c r="AX51" s="135"/>
      <c r="AY51" s="135" t="str">
        <f>IF((N51&lt;&gt;""),"[br]"&amp;IF(Q51="у","[strike]","")&amp;$A51&amp;". "&amp;N51&amp;" ("&amp;VLOOKUP(O51,База!$A$13:$B$17,2,0)&amp;" "&amp;P51&amp;" ур.)"&amp;IF(Q51="у","[/strike] (цена реорганизации: "&amp;P51*База!$I$2&amp;")","")&amp;IF(P51&lt;AZ51," (цена апгрейда: "&amp;(AZ51-P51)*База!$I$3&amp;")",""),"")&amp;AY52</f>
        <v/>
      </c>
      <c r="AZ51" s="135">
        <f t="shared" si="25"/>
        <v>0</v>
      </c>
      <c r="BA51" s="135">
        <f t="shared" si="26"/>
        <v>0</v>
      </c>
      <c r="BB51" s="135"/>
      <c r="BC51" s="135" t="str">
        <f>IF((R51&lt;&gt;""),"[br]"&amp;IF(U51="у","[strike]","")&amp;$A51&amp;". "&amp;R51&amp;" ("&amp;VLOOKUP(S51,База!$A$13:$B$17,2,0)&amp;" "&amp;T51&amp;" ур.)"&amp;IF(U51="у","[/strike] (цена реорганизации: "&amp;T51*База!$I$2&amp;")","")&amp;IF(T51&lt;BD51," (цена апгрейда: "&amp;(BD51-T51)*База!$I$3&amp;")",""),"")&amp;BC52</f>
        <v/>
      </c>
      <c r="BD51" s="135">
        <f t="shared" si="27"/>
        <v>0</v>
      </c>
      <c r="BE51" s="135">
        <f t="shared" si="28"/>
        <v>0</v>
      </c>
      <c r="BF51" s="135"/>
      <c r="BG51" s="135" t="str">
        <f>IF((V51&lt;&gt;""),"[br]"&amp;IF(Y51="у","[strike]","")&amp;$A51&amp;". "&amp;V51&amp;" ("&amp;VLOOKUP(W51,База!$A$13:$B$17,2,0)&amp;" "&amp;X51&amp;" ур.)"&amp;IF(Y51="у","[/strike] (цена реорганизации: "&amp;X51*База!$I$2&amp;")","")&amp;IF(X51&lt;BH51," (цена апгрейда: "&amp;(BH51-X51)*База!$I$3&amp;")",""),"")&amp;BG52</f>
        <v/>
      </c>
      <c r="BH51" s="135">
        <f t="shared" si="29"/>
        <v>0</v>
      </c>
      <c r="BI51" s="135">
        <f t="shared" si="30"/>
        <v>0</v>
      </c>
      <c r="BJ51" s="135"/>
      <c r="BK51" s="135" t="str">
        <f>IF((Z51&lt;&gt;""),"[br]"&amp;IF(AC51="у","[strike]","")&amp;$A51&amp;". "&amp;Z51&amp;" ("&amp;VLOOKUP(AA51,База!$A$13:$B$17,2,0)&amp;" "&amp;AB51&amp;" ур.)"&amp;IF(AC51="у","[/strike] (цена реорганизации: "&amp;AB51*База!$I$2&amp;")","")&amp;IF(AB51&lt;BL51," (цена апгрейда: "&amp;(BL51-AB51)*База!$I$3&amp;")",""),"")&amp;BK52</f>
        <v/>
      </c>
      <c r="BL51" s="135">
        <f t="shared" si="31"/>
        <v>0</v>
      </c>
      <c r="BM51" s="135">
        <f t="shared" si="32"/>
        <v>0</v>
      </c>
      <c r="BN51" s="135"/>
      <c r="BO51" s="135" t="str">
        <f>IF((AD51&lt;&gt;""),"[br]"&amp;IF(AG51="у","[strike]","")&amp;$A51&amp;". "&amp;AD51&amp;" ("&amp;VLOOKUP(AE51,База!$A$13:$B$17,2,0)&amp;" "&amp;AF51&amp;" ур.)"&amp;IF(AG51="у","[/strike] (цена реорганизации: "&amp;AF51*База!$I$2&amp;")","")&amp;IF(AF51&lt;BP51," (цена апгрейда: "&amp;(BP51-AF51)*База!$I$3&amp;")",""),"")&amp;BO52</f>
        <v/>
      </c>
      <c r="BP51" s="135">
        <f t="shared" si="33"/>
        <v>0</v>
      </c>
      <c r="BQ51" s="135">
        <f t="shared" si="34"/>
        <v>0</v>
      </c>
    </row>
    <row r="52" spans="1:69" x14ac:dyDescent="0.25">
      <c r="A52">
        <v>49</v>
      </c>
      <c r="B52" s="63"/>
      <c r="C52" s="65"/>
      <c r="D52" s="65"/>
      <c r="E52" s="65"/>
      <c r="F52" s="48"/>
      <c r="G52" s="50"/>
      <c r="H52" s="50"/>
      <c r="I52" s="50"/>
      <c r="J52" s="66"/>
      <c r="K52" s="68"/>
      <c r="L52" s="68"/>
      <c r="M52" s="68"/>
      <c r="N52" s="58"/>
      <c r="O52" s="60"/>
      <c r="P52" s="60"/>
      <c r="Q52" s="60"/>
      <c r="R52" s="72"/>
      <c r="S52" s="284"/>
      <c r="T52" s="284"/>
      <c r="U52" s="284"/>
      <c r="V52" s="69"/>
      <c r="W52" s="71"/>
      <c r="X52" s="71"/>
      <c r="Y52" s="71"/>
      <c r="Z52" s="26"/>
      <c r="AA52" s="28"/>
      <c r="AB52" s="28"/>
      <c r="AC52" s="28"/>
      <c r="AD52" s="53"/>
      <c r="AE52" s="55"/>
      <c r="AF52" s="55"/>
      <c r="AG52" s="55"/>
      <c r="AM52" s="135" t="str">
        <f>IF((B52&lt;&gt;""),"[br]"&amp;IF(E52="у","[strike]","")&amp;$A52&amp;". "&amp;B52&amp;" ("&amp;VLOOKUP(C52,База!$A$13:$B$17,2,0)&amp;" "&amp;D52&amp;" ур.)"&amp;IF(E52="у","[/strike] (цена реорганизации: "&amp;D52*База!$I$2&amp;")","")&amp;IF(D52&lt;AN52," (цена апгрейда: "&amp;(AN52-D52)*База!$I$3&amp;")",""),"")&amp;AM53</f>
        <v/>
      </c>
      <c r="AN52" s="135">
        <f t="shared" si="19"/>
        <v>0</v>
      </c>
      <c r="AO52" s="135">
        <f t="shared" si="20"/>
        <v>0</v>
      </c>
      <c r="AP52" s="135"/>
      <c r="AQ52" s="135" t="str">
        <f>IF((F52&lt;&gt;""),"[br]"&amp;IF(I52="у","[strike]","")&amp;$A52&amp;". "&amp;F52&amp;" ("&amp;VLOOKUP(G52,База!$A$13:$B$17,2,0)&amp;" "&amp;H52&amp;" ур.)"&amp;IF(I52="у","[/strike] (цена реорганизации: "&amp;H52*База!$I$2&amp;")","")&amp;IF(H52&lt;AR52," (цена апгрейда: "&amp;(AR52-H52)*База!$I$3&amp;")",""),"")&amp;AQ53</f>
        <v/>
      </c>
      <c r="AR52" s="135">
        <f t="shared" si="21"/>
        <v>0</v>
      </c>
      <c r="AS52" s="135">
        <f t="shared" si="22"/>
        <v>0</v>
      </c>
      <c r="AT52" s="135"/>
      <c r="AU52" s="135" t="str">
        <f>IF((J52&lt;&gt;""),"[br]"&amp;IF(M52="у","[strike]","")&amp;$A52&amp;". "&amp;J52&amp;" ("&amp;VLOOKUP(K52,База!$A$13:$B$17,2,0)&amp;" "&amp;L52&amp;" ур.)"&amp;IF(M52="у","[/strike] (цена реорганизации: "&amp;L52*База!$I$2&amp;")","")&amp;IF(L52&lt;AV52," (цена апгрейда: "&amp;(AV52-L52)*База!$I$3&amp;")",""),"")&amp;AU53</f>
        <v/>
      </c>
      <c r="AV52" s="135">
        <f t="shared" si="23"/>
        <v>0</v>
      </c>
      <c r="AW52" s="135">
        <f t="shared" si="24"/>
        <v>0</v>
      </c>
      <c r="AX52" s="135"/>
      <c r="AY52" s="135" t="str">
        <f>IF((N52&lt;&gt;""),"[br]"&amp;IF(Q52="у","[strike]","")&amp;$A52&amp;". "&amp;N52&amp;" ("&amp;VLOOKUP(O52,База!$A$13:$B$17,2,0)&amp;" "&amp;P52&amp;" ур.)"&amp;IF(Q52="у","[/strike] (цена реорганизации: "&amp;P52*База!$I$2&amp;")","")&amp;IF(P52&lt;AZ52," (цена апгрейда: "&amp;(AZ52-P52)*База!$I$3&amp;")",""),"")&amp;AY53</f>
        <v/>
      </c>
      <c r="AZ52" s="135">
        <f t="shared" si="25"/>
        <v>0</v>
      </c>
      <c r="BA52" s="135">
        <f t="shared" si="26"/>
        <v>0</v>
      </c>
      <c r="BB52" s="135"/>
      <c r="BC52" s="135" t="str">
        <f>IF((R52&lt;&gt;""),"[br]"&amp;IF(U52="у","[strike]","")&amp;$A52&amp;". "&amp;R52&amp;" ("&amp;VLOOKUP(S52,База!$A$13:$B$17,2,0)&amp;" "&amp;T52&amp;" ур.)"&amp;IF(U52="у","[/strike] (цена реорганизации: "&amp;T52*База!$I$2&amp;")","")&amp;IF(T52&lt;BD52," (цена апгрейда: "&amp;(BD52-T52)*База!$I$3&amp;")",""),"")&amp;BC53</f>
        <v/>
      </c>
      <c r="BD52" s="135">
        <f t="shared" si="27"/>
        <v>0</v>
      </c>
      <c r="BE52" s="135">
        <f t="shared" si="28"/>
        <v>0</v>
      </c>
      <c r="BF52" s="135"/>
      <c r="BG52" s="135" t="str">
        <f>IF((V52&lt;&gt;""),"[br]"&amp;IF(Y52="у","[strike]","")&amp;$A52&amp;". "&amp;V52&amp;" ("&amp;VLOOKUP(W52,База!$A$13:$B$17,2,0)&amp;" "&amp;X52&amp;" ур.)"&amp;IF(Y52="у","[/strike] (цена реорганизации: "&amp;X52*База!$I$2&amp;")","")&amp;IF(X52&lt;BH52," (цена апгрейда: "&amp;(BH52-X52)*База!$I$3&amp;")",""),"")&amp;BG53</f>
        <v/>
      </c>
      <c r="BH52" s="135">
        <f t="shared" si="29"/>
        <v>0</v>
      </c>
      <c r="BI52" s="135">
        <f t="shared" si="30"/>
        <v>0</v>
      </c>
      <c r="BJ52" s="135"/>
      <c r="BK52" s="135" t="str">
        <f>IF((Z52&lt;&gt;""),"[br]"&amp;IF(AC52="у","[strike]","")&amp;$A52&amp;". "&amp;Z52&amp;" ("&amp;VLOOKUP(AA52,База!$A$13:$B$17,2,0)&amp;" "&amp;AB52&amp;" ур.)"&amp;IF(AC52="у","[/strike] (цена реорганизации: "&amp;AB52*База!$I$2&amp;")","")&amp;IF(AB52&lt;BL52," (цена апгрейда: "&amp;(BL52-AB52)*База!$I$3&amp;")",""),"")&amp;BK53</f>
        <v/>
      </c>
      <c r="BL52" s="135">
        <f t="shared" si="31"/>
        <v>0</v>
      </c>
      <c r="BM52" s="135">
        <f t="shared" si="32"/>
        <v>0</v>
      </c>
      <c r="BN52" s="135"/>
      <c r="BO52" s="135" t="str">
        <f>IF((AD52&lt;&gt;""),"[br]"&amp;IF(AG52="у","[strike]","")&amp;$A52&amp;". "&amp;AD52&amp;" ("&amp;VLOOKUP(AE52,База!$A$13:$B$17,2,0)&amp;" "&amp;AF52&amp;" ур.)"&amp;IF(AG52="у","[/strike] (цена реорганизации: "&amp;AF52*База!$I$2&amp;")","")&amp;IF(AF52&lt;BP52," (цена апгрейда: "&amp;(BP52-AF52)*База!$I$3&amp;")",""),"")&amp;BO53</f>
        <v/>
      </c>
      <c r="BP52" s="135">
        <f t="shared" si="33"/>
        <v>0</v>
      </c>
      <c r="BQ52" s="135">
        <f t="shared" si="34"/>
        <v>0</v>
      </c>
    </row>
    <row r="53" spans="1:69" ht="15.75" thickBot="1" x14ac:dyDescent="0.3">
      <c r="A53">
        <v>50</v>
      </c>
      <c r="B53" s="97"/>
      <c r="C53" s="98"/>
      <c r="D53" s="98"/>
      <c r="E53" s="98"/>
      <c r="F53" s="99"/>
      <c r="G53" s="100"/>
      <c r="H53" s="100"/>
      <c r="I53" s="100"/>
      <c r="J53" s="101"/>
      <c r="K53" s="102"/>
      <c r="L53" s="102"/>
      <c r="M53" s="102"/>
      <c r="N53" s="103"/>
      <c r="O53" s="104"/>
      <c r="P53" s="104"/>
      <c r="Q53" s="104"/>
      <c r="R53" s="105"/>
      <c r="S53" s="106"/>
      <c r="T53" s="106"/>
      <c r="U53" s="106"/>
      <c r="V53" s="107"/>
      <c r="W53" s="108"/>
      <c r="X53" s="108"/>
      <c r="Y53" s="108"/>
      <c r="Z53" s="109"/>
      <c r="AA53" s="110"/>
      <c r="AB53" s="110"/>
      <c r="AC53" s="110"/>
      <c r="AD53" s="173"/>
      <c r="AE53" s="174"/>
      <c r="AF53" s="174"/>
      <c r="AG53" s="174"/>
      <c r="AM53" s="135" t="str">
        <f>IF((B53&lt;&gt;""),"[br]"&amp;IF(E53="у","[strike]","")&amp;$A53&amp;". "&amp;B53&amp;" ("&amp;VLOOKUP(C53,База!$A$13:$B$17,2,0)&amp;" "&amp;D53&amp;" ур.)"&amp;IF(E53="у","[/strike] (цена реорганизации: "&amp;D53*База!$I$2&amp;")","")&amp;IF(D53&lt;AN53," (цена апгрейда: "&amp;(AN53-D53)*База!$I$3&amp;")",""),"")&amp;AM54</f>
        <v/>
      </c>
      <c r="AN53" s="135">
        <f t="shared" si="19"/>
        <v>0</v>
      </c>
      <c r="AO53" s="135">
        <f t="shared" si="20"/>
        <v>0</v>
      </c>
      <c r="AP53" s="135"/>
      <c r="AQ53" s="135" t="str">
        <f>IF((F53&lt;&gt;""),"[br]"&amp;IF(I53="у","[strike]","")&amp;$A53&amp;". "&amp;F53&amp;" ("&amp;VLOOKUP(G53,База!$A$13:$B$17,2,0)&amp;" "&amp;H53&amp;" ур.)"&amp;IF(I53="у","[/strike] (цена реорганизации: "&amp;H53*База!$I$2&amp;")","")&amp;IF(H53&lt;AR53," (цена апгрейда: "&amp;(AR53-H53)*База!$I$3&amp;")",""),"")&amp;AQ54</f>
        <v/>
      </c>
      <c r="AR53" s="135">
        <f t="shared" si="21"/>
        <v>0</v>
      </c>
      <c r="AS53" s="135">
        <f t="shared" si="22"/>
        <v>0</v>
      </c>
      <c r="AT53" s="135"/>
      <c r="AU53" s="135" t="str">
        <f>IF((J53&lt;&gt;""),"[br]"&amp;IF(M53="у","[strike]","")&amp;$A53&amp;". "&amp;J53&amp;" ("&amp;VLOOKUP(K53,База!$A$13:$B$17,2,0)&amp;" "&amp;L53&amp;" ур.)"&amp;IF(M53="у","[/strike] (цена реорганизации: "&amp;L53*База!$I$2&amp;")","")&amp;IF(L53&lt;AV53," (цена апгрейда: "&amp;(AV53-L53)*База!$I$3&amp;")",""),"")&amp;AU54</f>
        <v/>
      </c>
      <c r="AV53" s="135">
        <f t="shared" si="23"/>
        <v>0</v>
      </c>
      <c r="AW53" s="135">
        <f t="shared" si="24"/>
        <v>0</v>
      </c>
      <c r="AX53" s="135"/>
      <c r="AY53" s="135" t="str">
        <f>IF((N53&lt;&gt;""),"[br]"&amp;IF(Q53="у","[strike]","")&amp;$A53&amp;". "&amp;N53&amp;" ("&amp;VLOOKUP(O53,База!$A$13:$B$17,2,0)&amp;" "&amp;P53&amp;" ур.)"&amp;IF(Q53="у","[/strike] (цена реорганизации: "&amp;P53*База!$I$2&amp;")","")&amp;IF(P53&lt;AZ53," (цена апгрейда: "&amp;(AZ53-P53)*База!$I$3&amp;")",""),"")&amp;AY54</f>
        <v/>
      </c>
      <c r="AZ53" s="135">
        <f t="shared" si="25"/>
        <v>0</v>
      </c>
      <c r="BA53" s="135">
        <f t="shared" si="26"/>
        <v>0</v>
      </c>
      <c r="BB53" s="135"/>
      <c r="BC53" s="135" t="str">
        <f>IF((R53&lt;&gt;""),"[br]"&amp;IF(U53="у","[strike]","")&amp;$A53&amp;". "&amp;R53&amp;" ("&amp;VLOOKUP(S53,База!$A$13:$B$17,2,0)&amp;" "&amp;T53&amp;" ур.)"&amp;IF(U53="у","[/strike] (цена реорганизации: "&amp;T53*База!$I$2&amp;")","")&amp;IF(T53&lt;BD53," (цена апгрейда: "&amp;(BD53-T53)*База!$I$3&amp;")",""),"")&amp;BC54</f>
        <v/>
      </c>
      <c r="BD53" s="135">
        <f t="shared" si="27"/>
        <v>0</v>
      </c>
      <c r="BE53" s="135">
        <f t="shared" si="28"/>
        <v>0</v>
      </c>
      <c r="BF53" s="135"/>
      <c r="BG53" s="135" t="str">
        <f>IF((V53&lt;&gt;""),"[br]"&amp;IF(Y53="у","[strike]","")&amp;$A53&amp;". "&amp;V53&amp;" ("&amp;VLOOKUP(W53,База!$A$13:$B$17,2,0)&amp;" "&amp;X53&amp;" ур.)"&amp;IF(Y53="у","[/strike] (цена реорганизации: "&amp;X53*База!$I$2&amp;")","")&amp;IF(X53&lt;BH53," (цена апгрейда: "&amp;(BH53-X53)*База!$I$3&amp;")",""),"")&amp;BG54</f>
        <v/>
      </c>
      <c r="BH53" s="135">
        <f t="shared" si="29"/>
        <v>0</v>
      </c>
      <c r="BI53" s="135">
        <f t="shared" si="30"/>
        <v>0</v>
      </c>
      <c r="BJ53" s="135"/>
      <c r="BK53" s="135" t="str">
        <f>IF((Z53&lt;&gt;""),"[br]"&amp;IF(AC53="у","[strike]","")&amp;$A53&amp;". "&amp;Z53&amp;" ("&amp;VLOOKUP(AA53,База!$A$13:$B$17,2,0)&amp;" "&amp;AB53&amp;" ур.)"&amp;IF(AC53="у","[/strike] (цена реорганизации: "&amp;AB53*База!$I$2&amp;")","")&amp;IF(AB53&lt;BL53," (цена апгрейда: "&amp;(BL53-AB53)*База!$I$3&amp;")",""),"")&amp;BK54</f>
        <v/>
      </c>
      <c r="BL53" s="135">
        <f t="shared" si="31"/>
        <v>0</v>
      </c>
      <c r="BM53" s="135">
        <f t="shared" si="32"/>
        <v>0</v>
      </c>
      <c r="BN53" s="135"/>
      <c r="BO53" s="135" t="str">
        <f>IF((AD53&lt;&gt;""),"[br]"&amp;IF(AG53="у","[strike]","")&amp;$A53&amp;". "&amp;AD53&amp;" ("&amp;VLOOKUP(AE53,База!$A$13:$B$17,2,0)&amp;" "&amp;AF53&amp;" ур.)"&amp;IF(AG53="у","[/strike] (цена реорганизации: "&amp;AF53*База!$I$2&amp;")","")&amp;IF(AF53&lt;BP53," (цена апгрейда: "&amp;(BP53-AF53)*База!$I$3&amp;")",""),"")&amp;BO54</f>
        <v/>
      </c>
      <c r="BP53" s="135">
        <f t="shared" si="33"/>
        <v>0</v>
      </c>
      <c r="BQ53" s="135">
        <f t="shared" si="34"/>
        <v>0</v>
      </c>
    </row>
    <row r="54" spans="1:69" ht="15.75" thickBot="1" x14ac:dyDescent="0.3">
      <c r="A54" s="83"/>
      <c r="B54" s="111"/>
      <c r="C54" s="112"/>
      <c r="D54" s="112"/>
      <c r="E54" s="112"/>
      <c r="F54" s="113"/>
      <c r="G54" s="114"/>
      <c r="H54" s="114"/>
      <c r="I54" s="114"/>
      <c r="J54" s="115"/>
      <c r="K54" s="116"/>
      <c r="L54" s="116"/>
      <c r="M54" s="116"/>
      <c r="N54" s="117"/>
      <c r="O54" s="118"/>
      <c r="P54" s="118"/>
      <c r="Q54" s="118"/>
      <c r="R54" s="119"/>
      <c r="S54" s="120"/>
      <c r="T54" s="120"/>
      <c r="U54" s="120"/>
      <c r="V54" s="121"/>
      <c r="W54" s="122"/>
      <c r="X54" s="122"/>
      <c r="Y54" s="122"/>
      <c r="Z54" s="123"/>
      <c r="AA54" s="124"/>
      <c r="AB54" s="124"/>
      <c r="AC54" s="124"/>
      <c r="AD54" s="189"/>
      <c r="AE54" s="190"/>
      <c r="AF54" s="190"/>
      <c r="AG54" s="191"/>
    </row>
    <row r="55" spans="1:69" x14ac:dyDescent="0.25">
      <c r="B55" s="139" t="s">
        <v>381</v>
      </c>
      <c r="C55" s="140" t="s">
        <v>153</v>
      </c>
      <c r="D55" s="140">
        <f>HLOOKUP(B$1,Наука!$D$1:$K$82,ROW(Наука!$B78),0)</f>
        <v>3</v>
      </c>
      <c r="F55" s="175" t="s">
        <v>381</v>
      </c>
      <c r="G55" s="176" t="s">
        <v>153</v>
      </c>
      <c r="H55" s="176">
        <f>HLOOKUP(F$1,Наука!$D$1:$K$82,ROW(Наука!$B78),0)</f>
        <v>1</v>
      </c>
      <c r="J55" s="177" t="s">
        <v>381</v>
      </c>
      <c r="K55" s="178" t="s">
        <v>153</v>
      </c>
      <c r="L55" s="178">
        <f>HLOOKUP(J$1,Наука!$D$1:$K$82,ROW(Наука!$B78),0)</f>
        <v>1</v>
      </c>
      <c r="N55" s="179" t="s">
        <v>381</v>
      </c>
      <c r="O55" s="180" t="s">
        <v>153</v>
      </c>
      <c r="P55" s="180">
        <f>HLOOKUP(N$1,Наука!$D$1:$K$82,ROW(Наука!$B78),0)</f>
        <v>3</v>
      </c>
      <c r="R55" s="181" t="s">
        <v>381</v>
      </c>
      <c r="S55" s="182" t="s">
        <v>153</v>
      </c>
      <c r="T55" s="182">
        <f>HLOOKUP(R$1,Наука!$D$1:$K$82,ROW(Наука!$B78),0)</f>
        <v>3</v>
      </c>
      <c r="V55" s="183" t="s">
        <v>381</v>
      </c>
      <c r="W55" s="184" t="s">
        <v>153</v>
      </c>
      <c r="X55" s="184">
        <f>HLOOKUP(V$1,Наука!$D$1:$K$82,ROW(Наука!$B78),0)</f>
        <v>1</v>
      </c>
      <c r="Z55" s="185" t="s">
        <v>381</v>
      </c>
      <c r="AA55" s="186" t="s">
        <v>153</v>
      </c>
      <c r="AB55" s="186">
        <f>HLOOKUP(Z$1,Наука!$D$1:$K$82,ROW(Наука!$B78),0)</f>
        <v>3</v>
      </c>
      <c r="AD55" s="187" t="s">
        <v>381</v>
      </c>
      <c r="AE55" s="188" t="s">
        <v>153</v>
      </c>
      <c r="AF55" s="188">
        <f>HLOOKUP(AD$1,Наука!$D$1:$K$82,ROW(Наука!$B78),0)</f>
        <v>1</v>
      </c>
    </row>
    <row r="56" spans="1:69" x14ac:dyDescent="0.25">
      <c r="B56" s="63" t="s">
        <v>381</v>
      </c>
      <c r="C56" s="130" t="s">
        <v>156</v>
      </c>
      <c r="D56" s="130">
        <f>HLOOKUP(B$1,Наука!$D$1:$K$82,ROW(Наука!$B79),0)</f>
        <v>4</v>
      </c>
      <c r="F56" s="48" t="s">
        <v>381</v>
      </c>
      <c r="G56" s="131" t="s">
        <v>156</v>
      </c>
      <c r="H56" s="131">
        <f>HLOOKUP(F$1,Наука!$D$1:$K$82,ROW(Наука!$B79),0)</f>
        <v>0</v>
      </c>
      <c r="J56" s="66" t="s">
        <v>381</v>
      </c>
      <c r="K56" s="132" t="s">
        <v>156</v>
      </c>
      <c r="L56" s="132">
        <f>HLOOKUP(J$1,Наука!$D$1:$K$82,ROW(Наука!$B79),0)</f>
        <v>2</v>
      </c>
      <c r="N56" s="58" t="s">
        <v>381</v>
      </c>
      <c r="O56" s="133" t="s">
        <v>156</v>
      </c>
      <c r="P56" s="133">
        <f>HLOOKUP(N$1,Наука!$D$1:$K$82,ROW(Наука!$B79),0)</f>
        <v>1</v>
      </c>
      <c r="R56" s="72" t="s">
        <v>381</v>
      </c>
      <c r="S56" s="134" t="s">
        <v>156</v>
      </c>
      <c r="T56" s="134">
        <f>HLOOKUP(R$1,Наука!$D$1:$K$82,ROW(Наука!$B79),0)</f>
        <v>0</v>
      </c>
      <c r="V56" s="69" t="s">
        <v>381</v>
      </c>
      <c r="W56" s="127" t="s">
        <v>156</v>
      </c>
      <c r="X56" s="127">
        <f>HLOOKUP(V$1,Наука!$D$1:$K$82,ROW(Наука!$B79),0)</f>
        <v>2</v>
      </c>
      <c r="Z56" s="26" t="s">
        <v>381</v>
      </c>
      <c r="AA56" s="128" t="s">
        <v>156</v>
      </c>
      <c r="AB56" s="128">
        <f>HLOOKUP(Z$1,Наука!$D$1:$K$82,ROW(Наука!$B79),0)</f>
        <v>0</v>
      </c>
      <c r="AD56" s="53" t="s">
        <v>381</v>
      </c>
      <c r="AE56" s="129" t="s">
        <v>156</v>
      </c>
      <c r="AF56" s="129">
        <f>HLOOKUP(AD$1,Наука!$D$1:$K$82,ROW(Наука!$B79),0)</f>
        <v>0</v>
      </c>
    </row>
    <row r="57" spans="1:69" x14ac:dyDescent="0.25">
      <c r="B57" s="63" t="s">
        <v>381</v>
      </c>
      <c r="C57" s="130" t="s">
        <v>157</v>
      </c>
      <c r="D57" s="130">
        <f>HLOOKUP(B$1,Наука!$D$1:$K$82,ROW(Наука!$B80),0)</f>
        <v>3</v>
      </c>
      <c r="F57" s="48" t="s">
        <v>381</v>
      </c>
      <c r="G57" s="131" t="s">
        <v>157</v>
      </c>
      <c r="H57" s="131">
        <f>HLOOKUP(F$1,Наука!$D$1:$K$82,ROW(Наука!$B80),0)</f>
        <v>2</v>
      </c>
      <c r="J57" s="66" t="s">
        <v>381</v>
      </c>
      <c r="K57" s="132" t="s">
        <v>157</v>
      </c>
      <c r="L57" s="132">
        <f>HLOOKUP(J$1,Наука!$D$1:$K$82,ROW(Наука!$B80),0)</f>
        <v>2</v>
      </c>
      <c r="N57" s="58" t="s">
        <v>381</v>
      </c>
      <c r="O57" s="133" t="s">
        <v>157</v>
      </c>
      <c r="P57" s="133">
        <f>HLOOKUP(N$1,Наука!$D$1:$K$82,ROW(Наука!$B80),0)</f>
        <v>2</v>
      </c>
      <c r="R57" s="72" t="s">
        <v>381</v>
      </c>
      <c r="S57" s="134" t="s">
        <v>157</v>
      </c>
      <c r="T57" s="134">
        <f>HLOOKUP(R$1,Наука!$D$1:$K$82,ROW(Наука!$B80),0)</f>
        <v>3</v>
      </c>
      <c r="V57" s="69" t="s">
        <v>381</v>
      </c>
      <c r="W57" s="127" t="s">
        <v>157</v>
      </c>
      <c r="X57" s="127">
        <f>HLOOKUP(V$1,Наука!$D$1:$K$82,ROW(Наука!$B80),0)</f>
        <v>1</v>
      </c>
      <c r="Z57" s="26" t="s">
        <v>381</v>
      </c>
      <c r="AA57" s="128" t="s">
        <v>157</v>
      </c>
      <c r="AB57" s="128">
        <f>HLOOKUP(Z$1,Наука!$D$1:$K$82,ROW(Наука!$B80),0)</f>
        <v>1</v>
      </c>
      <c r="AD57" s="53" t="s">
        <v>381</v>
      </c>
      <c r="AE57" s="129" t="s">
        <v>157</v>
      </c>
      <c r="AF57" s="129">
        <f>HLOOKUP(AD$1,Наука!$D$1:$K$82,ROW(Наука!$B80),0)</f>
        <v>1</v>
      </c>
    </row>
    <row r="58" spans="1:69" x14ac:dyDescent="0.25">
      <c r="B58" s="63" t="s">
        <v>381</v>
      </c>
      <c r="C58" s="130" t="s">
        <v>158</v>
      </c>
      <c r="D58" s="130">
        <f>HLOOKUP(B$1,Наука!$D$1:$K$82,ROW(Наука!$B81),0)</f>
        <v>4</v>
      </c>
      <c r="F58" s="48" t="s">
        <v>381</v>
      </c>
      <c r="G58" s="131" t="s">
        <v>158</v>
      </c>
      <c r="H58" s="131">
        <f>HLOOKUP(F$1,Наука!$D$1:$K$82,ROW(Наука!$B81),0)</f>
        <v>2</v>
      </c>
      <c r="J58" s="66" t="s">
        <v>381</v>
      </c>
      <c r="K58" s="132" t="s">
        <v>158</v>
      </c>
      <c r="L58" s="132">
        <f>HLOOKUP(J$1,Наука!$D$1:$K$82,ROW(Наука!$B81),0)</f>
        <v>0</v>
      </c>
      <c r="N58" s="58" t="s">
        <v>381</v>
      </c>
      <c r="O58" s="133" t="s">
        <v>158</v>
      </c>
      <c r="P58" s="133">
        <f>HLOOKUP(N$1,Наука!$D$1:$K$82,ROW(Наука!$B81),0)</f>
        <v>4</v>
      </c>
      <c r="R58" s="72" t="s">
        <v>381</v>
      </c>
      <c r="S58" s="134" t="s">
        <v>158</v>
      </c>
      <c r="T58" s="134">
        <f>HLOOKUP(R$1,Наука!$D$1:$K$82,ROW(Наука!$B81),0)</f>
        <v>4</v>
      </c>
      <c r="V58" s="69" t="s">
        <v>381</v>
      </c>
      <c r="W58" s="127" t="s">
        <v>158</v>
      </c>
      <c r="X58" s="127">
        <f>HLOOKUP(V$1,Наука!$D$1:$K$82,ROW(Наука!$B81),0)</f>
        <v>4</v>
      </c>
      <c r="Z58" s="26" t="s">
        <v>381</v>
      </c>
      <c r="AA58" s="128" t="s">
        <v>158</v>
      </c>
      <c r="AB58" s="128">
        <f>HLOOKUP(Z$1,Наука!$D$1:$K$82,ROW(Наука!$B81),0)</f>
        <v>2</v>
      </c>
      <c r="AD58" s="53" t="s">
        <v>381</v>
      </c>
      <c r="AE58" s="129" t="s">
        <v>158</v>
      </c>
      <c r="AF58" s="129">
        <f>HLOOKUP(AD$1,Наука!$D$1:$K$82,ROW(Наука!$B81),0)</f>
        <v>1</v>
      </c>
    </row>
    <row r="59" spans="1:69" x14ac:dyDescent="0.25">
      <c r="B59" s="63" t="s">
        <v>381</v>
      </c>
      <c r="C59" s="130" t="s">
        <v>154</v>
      </c>
      <c r="D59" s="130">
        <f>HLOOKUP(B$1,Наука!$D$1:$K$82,ROW(Наука!$B82),0)</f>
        <v>4</v>
      </c>
      <c r="F59" s="48" t="s">
        <v>381</v>
      </c>
      <c r="G59" s="131" t="s">
        <v>154</v>
      </c>
      <c r="H59" s="131">
        <f>HLOOKUP(F$1,Наука!$D$1:$K$82,ROW(Наука!$B82),0)</f>
        <v>0</v>
      </c>
      <c r="J59" s="66" t="s">
        <v>381</v>
      </c>
      <c r="K59" s="132" t="s">
        <v>154</v>
      </c>
      <c r="L59" s="132">
        <f>HLOOKUP(J$1,Наука!$D$1:$K$82,ROW(Наука!$B82),0)</f>
        <v>3</v>
      </c>
      <c r="N59" s="58" t="s">
        <v>381</v>
      </c>
      <c r="O59" s="133" t="s">
        <v>154</v>
      </c>
      <c r="P59" s="133">
        <f>HLOOKUP(N$1,Наука!$D$1:$K$82,ROW(Наука!$B82),0)</f>
        <v>3</v>
      </c>
      <c r="R59" s="72" t="s">
        <v>381</v>
      </c>
      <c r="S59" s="134" t="s">
        <v>154</v>
      </c>
      <c r="T59" s="134">
        <f>HLOOKUP(R$1,Наука!$D$1:$K$82,ROW(Наука!$B82),0)</f>
        <v>4</v>
      </c>
      <c r="V59" s="69" t="s">
        <v>381</v>
      </c>
      <c r="W59" s="127" t="s">
        <v>154</v>
      </c>
      <c r="X59" s="127">
        <f>HLOOKUP(V$1,Наука!$D$1:$K$82,ROW(Наука!$B82),0)</f>
        <v>4</v>
      </c>
      <c r="Z59" s="26" t="s">
        <v>381</v>
      </c>
      <c r="AA59" s="128" t="s">
        <v>154</v>
      </c>
      <c r="AB59" s="128">
        <f>HLOOKUP(Z$1,Наука!$D$1:$K$82,ROW(Наука!$B82),0)</f>
        <v>3</v>
      </c>
      <c r="AD59" s="53" t="s">
        <v>381</v>
      </c>
      <c r="AE59" s="129" t="s">
        <v>154</v>
      </c>
      <c r="AF59" s="129">
        <f>HLOOKUP(AD$1,Наука!$D$1:$K$82,ROW(Наука!$B82),0)</f>
        <v>0</v>
      </c>
    </row>
    <row r="60" spans="1:69" x14ac:dyDescent="0.25">
      <c r="B60" s="9" t="str">
        <f>AM4</f>
        <v>[br]1. 1е катюши (поддержка 4 ур.)[br]2. 1й авиаполк (авиация 4 ур.)[br]3. 2е катюши (поддержка 4 ур.)[br]4. 2й авиаполк (авиация 4 ур.)[br]5. 3я катюша (поддержка 4 ур.)[br]6. 3й авиаполк (авиация 4 ур.)[br]7. 1е гвардейцы (пехотное 3 ур.)[br][strike]8. 4я катюша (поддержка 4 ур.)[/strike] (цена реорганизации: 8)[br][strike]9. 4й авиаполк (авиация 4 ур.)[/strike] (цена реорганизации: 8)[br]10. 5я катюша (поддержка 4 ур.)[br]11. 5й авиаполк (авиация 4 ур.)[br]12. 6я катюша (поддержка 4 ур.)[br]13. 6й авиаполк (авиация 4 ур.)[br]14. 2е гвардейцы (пехотное 3 ур.)[br][strike]15. 7я катюша (поддержка 4 ур.)[/strike] (цена реорганизации: 8)[br]16. 7й авиаполк (авиация 4 ур.)[br]17. 8я катюша (поддержка 4 ур.)[br]18. 8й авиаполк (авиация 4 ур.)[br]19. 9я катюша (поддержка 4 ур.)[br]20. 9й авиаполк (авиация 4 ур.)[br]21. 1й танк (мобильное 4 ур.)[br]22. 10я катюша (поддержка 4 ур.)[br]23. 10й авиаполк (авиация 4 ур.)[br]24. 11я катюша (поддержка 4 ур.)[br]25. 11й авиаполк (авиация 4 ур.)[br]26. 12я катюша (поддержка 4 ур.)[br]27. 12й авиаполк (авиация 4 ур.)[br]28. 2й танк (мобильное 4 ур.)</v>
      </c>
      <c r="F60" s="51" t="str">
        <f>AQ4</f>
        <v>[br][strike]1. ватага (пехотное 1 ур.)[/strike] (цена реорганизации: 2)[br][strike]2. ватага (пехотное 1 ур.)[/strike] (цена реорганизации: 2)[br][strike]3. 1е триарии (заградит. 1 ур.)[/strike] (цена реорганизации: 2) (цена апгрейда: 4)[br][strike]4. 2е триарии (заградит. 1 ур.)[/strike] (цена реорганизации: 2) (цена апгрейда: 4)[br][strike]5. 3и триарии (заградит. 2 ур.)[/strike] (цена реорганизации: 4)[br][strike]6. 4е триарии (заградит. 2 ур.)[/strike] (цена реорганизации: 4)[br]7. 5е триарии (заградит. 2 ур.)[br]8. 6е триарии (заградит. 2 ур.)[br]9. 3я ватага (пехотное 1 ур.)</v>
      </c>
      <c r="J60" s="3" t="str">
        <f>AU4</f>
        <v>[br][strike]1. 1е пикинеры (заградит. 2 ур.)[/strike] (цена реорганизации: 4)[br][strike]2. 1е рыцари (мобильное 2 ур.)[/strike] (цена реорганизации: 4)[br][strike]3. 2е пикирены (заградит. 2 ур.)[/strike] (цена реорганизации: 4)[br][strike]4. 2е рыцари (мобильное 2 ур.)[/strike] (цена реорганизации: 4)[br][strike]5. 3и рыцари (мобильное 2 ур.)[/strike] (цена реорганизации: 4)[br][strike]6. 4е рыцари (мобильное 2 ур.)[/strike] (цена реорганизации: 4)[br][strike]7. 1й мечник (пехотное 2 ур.)[/strike] (цена реорганизации: 4)[br][strike]8. 5е рыцари (мобильное 2 ур.)[/strike] (цена реорганизации: 4)[br][strike]9. Бипланы (авиация 3 ур.)[/strike] (цена реорганизации: 6)</v>
      </c>
      <c r="N60" s="61" t="str">
        <f>AY4</f>
        <v>[br]1. 1е бипланы (авиация 3 ур.)[br]2. 6е бипланы (авиация 3 ур.)[br]3. 7е бипланы (авиация 3 ур.)[br]4. 8е бипланы (авиация 3 ур.)[br]5. 9е бипланы (авиация 3 ур.)[br]6. 3и бипланы (авиация 3 ур.)[br][strike]7. 2е бипланы (авиация 3 ур.)[/strike] (цена реорганизации: 6)[br][strike]8. 4е бипланы (авиация 3 ур.)[/strike] (цена реорганизации: 6)[br][strike]9. 5е бипланы (авиация 3 ур.)[/strike] (цена реорганизации: 6)[br][strike]10. 10е бипланы (авиация 3 ур.)[/strike] (цена реорганизации: 6)[br][strike]11. 11е бипланы (авиация 3 ур.)[/strike] (цена реорганизации: 6)[br][strike]12. 12е бипланы (авиация 3 ур.)[/strike] (цена реорганизации: 6)[br][strike]13. 3и пикинеры (заградит. 2 ур.)[/strike] (цена реорганизации: 4)[br][strike]14. 1е копейщики (заградит. 2 ур.)[/strike] (цена реорганизации: 4)[br][strike]15. 4е пикинеры (заградит. 2 ур.)[/strike] (цена реорганизации: 4)[br][strike]16. 2е копейщики (заградит. 2 ур.)[/strike] (цена реорганизации: 4)[br][strike]17. 2е пикинеры (заградит. 2 ур.)[/strike] (цена реорганизации: 4)[br][strike]18. 1е всадники (мобильное 1 ур.)[/strike] (цена реорганизации: 2)[br][strike]19. 1е пикинеры (заградит. 2 ур.)[/strike] (цена реорганизации: 4)[br][strike]20. 3я кавалерия (мобильное 1 ур.)[/strike] (цена реорганизации: 2)[br][strike]21. 4я кавалерия (мобильное 1 ур.)[/strike] (цена реорганизации: 2)[br][strike]22. 5е всадники (мобильное 1 ур.)[/strike] (цена реорганизации: 2)[br][strike]23. 2е всадники (мобильное 1 ур.)[/strike] (цена реорганизации: 2)[br][strike]24. 3я ватага (пехотное 3 ур.)[/strike] (цена реорганизации: 6)[br][strike]25. 1я ватага (пехотное 3 ур.)[/strike] (цена реорганизации: 6)[br][strike]26. 2я ватага (пехотное 3 ур.)[/strike] (цена реорганизации: 6)[br][strike]27. 1я батарея (поддержка 4 ур.)[/strike] (цена реорганизации: 8)[br][strike]28. 13е бипланы (авиация 3 ур.)[/strike] (цена реорганизации: 6)[br][strike]29. 14е бипланы (авиация 3 ур.)[/strike] (цена реорганизации: 6)[br][strike]30. 15е бипланы (авиация 3 ур.)[/strike] (цена реорганизации: 6)[br][strike]31. 16е бипланы (авиация 3 ур.)[/strike] (цена реорганизации: 6)[br][strike]32. 17е бипланы (авиация 3 ур.)[/strike] (цена реорганизации: 6)[br][strike]33. 18е бипланы (авиация 3 ур.)[/strike] (цена реорганизации: 6)</v>
      </c>
      <c r="R60" s="75" t="str">
        <f>BC4</f>
        <v>[br]1. 11й РСЗО Донгфенг  (поддержка 4 ур.)[br]2. 10я РЭ Дженду J-20 (авиация 4 ур.)[br]3. 2я батарея (поддержка 4 ур.)[br]4. 2й полк Чженду J-20 "Морской орел" (авиация 4 ур.)[br]5. 9я батарея (поддержка 4 ур.)[br]6. 5-й полк Чэнду J-20 «Черный орел» (авиация 4 ур.)[br]7. 1е аркебузиры (пехотное 3 ур.)[br]8. 8я батарея (поддержка 4 ур.)[br]9. 7-й полк Чэнду J-20 «Черный орел» (авиация 4 ур.)[br]10. 1я батарея (поддержка 4 ур.)[br]11. 1й истребитель (авиация 4 ур.)[br]12. 1й отдельный штурмовой батальон (пехотное 3 ур.)[br]13. 6я батарея (поддержка 4 ур.)[br]14. 9я РЭ Дженду J-20 (авиация 4 ур.)[br]15. 2й полк Чэнду J-20 «Черный орел» (авиация 4 ур.)[br]16. 1й полк Чженду J-20М «Морской орел» (авиация 4 ур.)[br]17. 2-й отдельный штурмовой батальон (пехотное 3 ур.)[br]18. 6-й полк Чэнду J-20 «Черный орел» (авиация 4 ур.)[br]19. 9й РСЗО Донгфенг  (поддержка 4 ур.)[br]20. 2й истребитель (авиация 4 ур.)[br]21. 9й Дженду (авиация 4 ур.)[br][strike]22. 8й РЭ Дженду J-20 (авиация 4 ур.)[/strike] (цена реорганизации: 8)[br][strike]23. 10й РСЗО Донгфенг  (поддержка 4 ур.)[/strike] (цена реорганизации: 8)[br][strike]24. 3й истребитель (авиация 4 ур.)[/strike] (цена реорганизации: 8)[br][strike]25. 7я батарея (поддержка 4 ур.)[/strike] (цена реорганизации: 8)[br][strike]26. 4й истребитель (авиация 4 ур.)[/strike] (цена реорганизации: 8)[br][strike]27. 3я батарея (поддержка 3 ур.)[/strike] (цена реорганизации: 6) (цена апгрейда: 4)[br][strike]28. 4й полк Ченду J-20 (авиация 4 ур.)[/strike] (цена реорганизации: 8)[br][strike]29. 4я батарея (поддержка 3 ур.)[/strike] (цена реорганизации: 6) (цена апгрейда: 4)[br][strike]30. 5я батарея (поддержка 3 ур.)[/strike] (цена реорганизации: 6) (цена апгрейда: 4)[br][strike]31. 3й полк Чэнду J-20 «Черный орел» (авиация 4 ур.)[/strike] (цена реорганизации: 8)[br][strike]32. 1е стрелки (поддержка 1 ур.)[/strike] (цена реорганизации: 2) (цена апгрейда: 12)[br][strike]33. 2я ватага (пехотное 1 ур.)[/strike] (цена реорганизации: 2) (цена апгрейда: 8)[br][strike]34. 2е стрелки (поддержка 1 ур.)[/strike] (цена реорганизации: 2) (цена апгрейда: 12)[br][strike]35. 12й РСЗО Донгфенг  (поддержка 4 ур.)[/strike] (цена реорганизации: 8)[br][strike]36. 13й РСЗО Донгфенг  (поддержка 4 ур.)[/strike] (цена реорганизации: 8)[br][strike]37. 2е аркебузиры (пехотное 3 ур.)[/strike] (цена реорганизации: 6)[br][strike]38. 14й РСЗО Донгфенг  (поддержка 4 ур.)[/strike] (цена реорганизации: 8)[br][strike]39. 15й РСЗО Донгфенг  (поддержка 4 ур.)[/strike] (цена реорганизации: 8)[br][strike]40. 3и аркебузиры (пехотное 3 ур.)[/strike] (цена реорганизации: 6)[br][strike]41. 16й РСЗО Донгфенг  (поддержка 4 ур.)[/strike] (цена реорганизации: 8)[br][strike]42. 4е аркебузиры (пехотное 3 ур.)[/strike] (цена реорганизации: 6)[br][strike]43. 17й РСЗО Донгфенг  (поддержка 4 ур.)[/strike] (цена реорганизации: 8)[br][strike]44. 5е аркебузиры (пехотное 3 ур.)[/strike] (цена реорганизации: 6)</v>
      </c>
      <c r="V60" s="7" t="str">
        <f>BG4</f>
        <v>[br][strike]1. 1е РСЗО (поддержка 4 ур.)[/strike] (цена реорганизации: 8)[br]2. 1я эскадрилья (авиация 4 ур.)[br][strike]3. 2е РСЗО (поддержка 4 ур.)[/strike] (цена реорганизации: 8)[br][strike]4. 8я эскадрилья (авиация 4 ур.)[/strike] (цена реорганизации: 8)[br][strike]5. 8я ватага (пехотное 1 ур.)[/strike] (цена реорганизации: 2)[br][strike]6. 1е арбалетчики/РСЗО (поддержка 4 ур.)[/strike] (цена реорганизации: 8)[br][strike]7. 9я эскадрилья (авиация 4 ур.)[/strike] (цена реорганизации: 8)[br][strike]8. 3и РСЗО (поддержка 4 ур.)[/strike] (цена реорганизации: 8)[br][strike]9. 10я эскадрилья (авиация 4 ур.)[/strike] (цена реорганизации: 8)[br][strike]10. 9я ватага (пехотное 1 ур.)[/strike] (цена реорганизации: 2)[br]11. 2е арбалетчики (поддержка 2 ур.) (цена апгрейда: 8)[br]12. 9я/2 эскадрилья (авиация 4 ур.)[br]13. 10я эскадрилья (авиация 4 ур.)[br][strike]14. 5я ватага (пехотное 1 ур.)[/strike] (цена реорганизации: 2)[br][strike]15. 6я ватага (пехотное 1 ур.)[/strike] (цена реорганизации: 2)[br][strike]16. 7я ватага (пехотное 1 ур.)[/strike] (цена реорганизации: 2)[br][strike]17. 2я эскадрилья (авиация 3 ур.)[/strike] (цена реорганизации: 6) (цена апгрейда: 4)[br][strike]18. 2е рыцари (мобильное 2 ур.)[/strike] (цена реорганизации: 4)[br][strike]19. 3я эскадрилья (авиация 3 ур.)[/strike] (цена реорганизации: 6) (цена апгрейда: 4)[br][strike]20. ватага (пехотное 1 ур.)[/strike] (цена реорганизации: 2)[br][strike]21. 1е рыцари (мобильное 2 ур.)[/strike] (цена реорганизации: 4)[br][strike]22. ватага (пехотное 1 ур.)[/strike] (цена реорганизации: 2)[br][strike]23. 1е лучники (поддержка 1 ур.)[/strike] (цена реорганизации: 2) (цена апгрейда: 12)[br][strike]24. мечники (пехотное 2 ур.)[/strike] (цена реорганизации: 4)[br][strike]25. 3и рыцари (мобильное 2 ур.)[/strike] (цена реорганизации: 4)[br][strike]26. 4я ватага (пехотное 1 ур.)[/strike] (цена реорганизации: 2)[br][strike]27. 4я эскадрилья (авиация 3 ур.)[/strike] (цена реорганизации: 6) (цена апгрейда: 4)[br][strike]28. 5я эскадрилья (авиация 3 ур.)[/strike] (цена реорганизации: 6) (цена апгрейда: 4)[br][strike]29. 7я эскадрилья (авиация 4 ур.)[/strike] (цена реорганизации: 8)[br][strike]30. 4е рыцари (мобильное 2 ур.)[/strike] (цена реорганизации: 4)[br][strike]31. 6я эскадрилья (авиация 4 ур.)[/strike] (цена реорганизации: 8)[br][strike]32. ватага (пехотное 1 ур.)[/strike] (цена реорганизации: 2)[br][strike]33. 3и арбалетчики (поддержка 2 ур.)[/strike] (цена реорганизации: 4) (цена апгрейда: 8)</v>
      </c>
      <c r="Z60" s="5" t="str">
        <f>BK4</f>
        <v>[br]1. ватага (пехотное 3 ур.)[br]2. ватага (пехотное 3 ур.)[br]3. ватага (пехотное 3 ур.)[br]4. верблюжатники (мобильное 1 ур.)[br]5. 4я ватага (пехотное 3 ур.)[br]6. арбалетчики (поддержка 2 ур.)[br]7. 1е копейщики (заградит. 1 ур.)[br]8. 1е бипланы (авиация 3 ур.)</v>
      </c>
      <c r="AD60" s="56" t="str">
        <f>BO4</f>
        <v>[br]1. ватага (пехотное 1 ур.)[br]2. ватага (пехотное 1 ур.)</v>
      </c>
    </row>
    <row r="62" spans="1:69" s="135" customFormat="1" x14ac:dyDescent="0.25">
      <c r="B62" s="9">
        <f>HLOOKUP(B1,Наука!$D1:$K58,58,0)</f>
        <v>8</v>
      </c>
      <c r="C62" s="141" t="s">
        <v>386</v>
      </c>
      <c r="D62" s="10"/>
      <c r="E62" s="10"/>
      <c r="F62" s="51">
        <f>HLOOKUP(F1,Наука!$D1:$K58,58,0)</f>
        <v>4</v>
      </c>
      <c r="G62" s="142" t="s">
        <v>386</v>
      </c>
      <c r="H62" s="52"/>
      <c r="I62" s="52"/>
      <c r="J62" s="3">
        <f>HLOOKUP(J1,Наука!$D1:$K58,58,0)</f>
        <v>4</v>
      </c>
      <c r="K62" s="143" t="s">
        <v>386</v>
      </c>
      <c r="L62" s="4"/>
      <c r="M62" s="4"/>
      <c r="N62" s="61">
        <f>HLOOKUP(N1,Наука!$D1:$K58,58,0)</f>
        <v>6</v>
      </c>
      <c r="O62" s="144" t="s">
        <v>386</v>
      </c>
      <c r="P62" s="62"/>
      <c r="Q62" s="62"/>
      <c r="R62" s="75">
        <f>HLOOKUP(R1,Наука!$D1:$K58,58,0)</f>
        <v>7</v>
      </c>
      <c r="S62" s="145" t="s">
        <v>386</v>
      </c>
      <c r="T62" s="76"/>
      <c r="U62" s="76"/>
      <c r="V62" s="7">
        <f>HLOOKUP(V1,Наука!$D1:$K58,58,0)</f>
        <v>5</v>
      </c>
      <c r="W62" s="146" t="s">
        <v>386</v>
      </c>
      <c r="X62" s="8"/>
      <c r="Y62" s="8"/>
      <c r="Z62" s="5">
        <f>HLOOKUP(Z1,Наука!$D1:$K58,58,0)</f>
        <v>3</v>
      </c>
      <c r="AA62" s="147" t="s">
        <v>386</v>
      </c>
      <c r="AB62" s="6"/>
      <c r="AC62" s="6"/>
      <c r="AD62" s="56">
        <f>HLOOKUP(AD1,Наука!$D1:$K58,58,0)</f>
        <v>2</v>
      </c>
      <c r="AE62" s="148" t="s">
        <v>386</v>
      </c>
      <c r="AF62" s="57"/>
      <c r="AG62" s="57"/>
      <c r="AH62" s="78"/>
      <c r="AI62" s="78"/>
      <c r="AJ62" s="78"/>
      <c r="AK62" s="78"/>
    </row>
    <row r="63" spans="1:69" s="135" customFormat="1" x14ac:dyDescent="0.25">
      <c r="B63" s="9">
        <f>COUNTIF(B4:B53,"&lt;&gt;"&amp;"")-B65</f>
        <v>25</v>
      </c>
      <c r="C63" s="141" t="s">
        <v>385</v>
      </c>
      <c r="D63" s="10"/>
      <c r="E63" s="10"/>
      <c r="F63" s="51">
        <v>3</v>
      </c>
      <c r="G63" s="142" t="s">
        <v>385</v>
      </c>
      <c r="H63" s="52"/>
      <c r="I63" s="52"/>
      <c r="J63" s="3">
        <f>COUNTIF(J4:J53,"&lt;&gt;"&amp;"")-J65</f>
        <v>0</v>
      </c>
      <c r="K63" s="143" t="s">
        <v>385</v>
      </c>
      <c r="L63" s="4"/>
      <c r="M63" s="4"/>
      <c r="N63" s="61">
        <f>COUNTIF(N5:N53,"&lt;&gt;"&amp;"")-N65</f>
        <v>5</v>
      </c>
      <c r="O63" s="144" t="s">
        <v>385</v>
      </c>
      <c r="P63" s="62"/>
      <c r="Q63" s="62"/>
      <c r="R63" s="75">
        <f>COUNTIF(R4:R53,"&lt;&gt;"&amp;"")-R65</f>
        <v>21</v>
      </c>
      <c r="S63" s="145" t="s">
        <v>385</v>
      </c>
      <c r="T63" s="76"/>
      <c r="U63" s="76"/>
      <c r="V63" s="7">
        <f>COUNTIF(V4:V53,"&lt;&gt;"&amp;"")-V65</f>
        <v>4</v>
      </c>
      <c r="W63" s="146" t="s">
        <v>385</v>
      </c>
      <c r="X63" s="8"/>
      <c r="Y63" s="8"/>
      <c r="Z63" s="5">
        <f>COUNTIF(Z4:Z53,"&lt;&gt;"&amp;"")-Z65</f>
        <v>8</v>
      </c>
      <c r="AA63" s="147" t="s">
        <v>385</v>
      </c>
      <c r="AB63" s="6"/>
      <c r="AC63" s="6"/>
      <c r="AD63" s="56">
        <f>COUNTIF(AD4:AD53,"&lt;&gt;"&amp;"")-AD65</f>
        <v>2</v>
      </c>
      <c r="AE63" s="148" t="s">
        <v>385</v>
      </c>
      <c r="AF63" s="57"/>
      <c r="AG63" s="57"/>
      <c r="AH63" s="78"/>
      <c r="AI63" s="78"/>
      <c r="AJ63" s="78"/>
      <c r="AK63" s="78"/>
    </row>
    <row r="64" spans="1:69" x14ac:dyDescent="0.25">
      <c r="B64" s="9">
        <f>SUM(AO4:AO53)</f>
        <v>0</v>
      </c>
      <c r="C64" s="141" t="s">
        <v>382</v>
      </c>
      <c r="F64" s="51">
        <f>SUM(AS4:AS53)</f>
        <v>2</v>
      </c>
      <c r="G64" s="142" t="s">
        <v>382</v>
      </c>
      <c r="J64" s="3">
        <f>SUM(AW4:AW53)</f>
        <v>0</v>
      </c>
      <c r="K64" s="143" t="s">
        <v>382</v>
      </c>
      <c r="L64" s="143"/>
      <c r="N64" s="61">
        <f>SUM(BA4:BA53)</f>
        <v>0</v>
      </c>
      <c r="O64" s="144" t="s">
        <v>382</v>
      </c>
      <c r="R64" s="75">
        <f>SUM(BE4:BE53)</f>
        <v>6</v>
      </c>
      <c r="S64" s="145" t="s">
        <v>382</v>
      </c>
      <c r="V64" s="7">
        <f>SUM(BI4:BI53)</f>
        <v>7</v>
      </c>
      <c r="W64" s="146" t="s">
        <v>382</v>
      </c>
      <c r="Z64" s="5">
        <f>SUM(BM4:BM53)</f>
        <v>0</v>
      </c>
      <c r="AA64" s="147" t="s">
        <v>382</v>
      </c>
      <c r="AD64" s="56">
        <f>SUM(BQ4:BQ53)</f>
        <v>0</v>
      </c>
      <c r="AE64" s="148" t="s">
        <v>382</v>
      </c>
    </row>
    <row r="65" spans="2:32" x14ac:dyDescent="0.25">
      <c r="B65" s="9">
        <f>COUNTIF(E4:E53,"у")</f>
        <v>3</v>
      </c>
      <c r="C65" s="141" t="s">
        <v>383</v>
      </c>
      <c r="F65" s="51">
        <f>COUNTIF(I4:I53,"у")</f>
        <v>6</v>
      </c>
      <c r="G65" s="142" t="s">
        <v>383</v>
      </c>
      <c r="J65" s="3">
        <f>COUNTIF(M4:M53,"у")</f>
        <v>9</v>
      </c>
      <c r="K65" s="143" t="s">
        <v>383</v>
      </c>
      <c r="L65" s="143"/>
      <c r="N65" s="61">
        <f>COUNTIF(Q5:Q53,"у")</f>
        <v>27</v>
      </c>
      <c r="O65" s="144" t="s">
        <v>383</v>
      </c>
      <c r="R65" s="75">
        <f>COUNTIF(U4:U53,"у")</f>
        <v>23</v>
      </c>
      <c r="S65" s="145" t="s">
        <v>383</v>
      </c>
      <c r="V65" s="7">
        <f>COUNTIF(Y4:Y53,"у")</f>
        <v>29</v>
      </c>
      <c r="W65" s="146" t="s">
        <v>383</v>
      </c>
      <c r="Z65" s="5">
        <f>COUNTIF(AC4:AC53,"у")</f>
        <v>0</v>
      </c>
      <c r="AA65" s="147" t="s">
        <v>383</v>
      </c>
      <c r="AD65" s="56">
        <f>COUNTIF(AG4:AG53,"у")</f>
        <v>0</v>
      </c>
      <c r="AE65" s="148" t="s">
        <v>383</v>
      </c>
    </row>
    <row r="66" spans="2:32" x14ac:dyDescent="0.25">
      <c r="B66" s="149">
        <f>SUMIF(E4:E53,"&lt;&gt;"&amp;"у",D4:D53)/B63*MIN(B62,B63)*IF(B63&gt;B62,0.8+B63/B62/5,1)</f>
        <v>44.688000000000002</v>
      </c>
      <c r="C66" s="150" t="s">
        <v>384</v>
      </c>
      <c r="D66" s="151"/>
      <c r="E66" s="151"/>
      <c r="F66" s="152">
        <f>SUMIF(I4:I53,"&lt;&gt;"&amp;"у",H4:H53)/F63*MIN(F62,F63)*IF(F63&gt;F62,0.8+F63/F62/5,1)</f>
        <v>5</v>
      </c>
      <c r="G66" s="153" t="s">
        <v>384</v>
      </c>
      <c r="H66" s="154"/>
      <c r="I66" s="154"/>
      <c r="J66" s="155" t="e">
        <f>SUMIF(M4:M53,"&lt;&gt;"&amp;"у",L4:L53)/J63*MIN(J62,J63)*IF(J63&gt;J62,0.8+J63/J62/5,1)</f>
        <v>#DIV/0!</v>
      </c>
      <c r="K66" s="156" t="s">
        <v>384</v>
      </c>
      <c r="L66" s="156"/>
      <c r="M66" s="157"/>
      <c r="N66" s="158">
        <f>SUMIF(Q5:Q53,"&lt;&gt;"&amp;"у",P5:P53)/N63*MIN(N62,N63)*IF(N63&gt;N62,0.8+N63/N62/5,1)</f>
        <v>15</v>
      </c>
      <c r="O66" s="159" t="s">
        <v>384</v>
      </c>
      <c r="P66" s="160"/>
      <c r="Q66" s="160"/>
      <c r="R66" s="161">
        <f>SUMIF(U4:U53,"&lt;&gt;"&amp;"у",T4:T53)/R63*MIN(R62,R63)*IF(R63&gt;R62,0.8+R63/R62/5,1)</f>
        <v>37.799999999999997</v>
      </c>
      <c r="S66" s="172" t="s">
        <v>384</v>
      </c>
      <c r="T66" s="162"/>
      <c r="U66" s="162"/>
      <c r="V66" s="163">
        <f>SUMIF(Y4:Y53,"&lt;&gt;"&amp;"у",X4:X53)/V63*MIN(V62,V63)*IF(V63&gt;V62,0.8+V63/V62/5,1)</f>
        <v>14</v>
      </c>
      <c r="W66" s="164" t="s">
        <v>384</v>
      </c>
      <c r="X66" s="165"/>
      <c r="Y66" s="165"/>
      <c r="Z66" s="166">
        <f>SUMIF(AC4:AC53,"&lt;&gt;"&amp;"у",AB4:AB53)/Z63*MIN(Z62,Z63)*IF(Z63&gt;Z62,0.8+Z63/Z62/5,1)</f>
        <v>9.5000000000000018</v>
      </c>
      <c r="AA66" s="167" t="s">
        <v>384</v>
      </c>
      <c r="AB66" s="168"/>
      <c r="AC66" s="168"/>
      <c r="AD66" s="169">
        <f>SUMIF(AG4:AG53,"&lt;&gt;"&amp;"у",AF4:AF53)/AD63*MIN(AD62,AD63)*IF(AD63&gt;AD62,0.8+AD63/AD62/5,1)</f>
        <v>2</v>
      </c>
      <c r="AE66" s="170" t="s">
        <v>384</v>
      </c>
      <c r="AF66" s="171"/>
    </row>
  </sheetData>
  <mergeCells count="8">
    <mergeCell ref="V1:Y1"/>
    <mergeCell ref="Z1:AC1"/>
    <mergeCell ref="AD1:AG1"/>
    <mergeCell ref="B1:E1"/>
    <mergeCell ref="F1:I1"/>
    <mergeCell ref="J1:M1"/>
    <mergeCell ref="N1:Q1"/>
    <mergeCell ref="R1: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6"/>
  <sheetViews>
    <sheetView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C35" sqref="C35"/>
    </sheetView>
  </sheetViews>
  <sheetFormatPr defaultRowHeight="15" x14ac:dyDescent="0.25"/>
  <cols>
    <col min="1" max="1" width="3.140625" bestFit="1" customWidth="1"/>
    <col min="2" max="2" width="14" bestFit="1" customWidth="1"/>
    <col min="3" max="3" width="17.7109375" bestFit="1" customWidth="1"/>
    <col min="4" max="5" width="3.7109375" bestFit="1" customWidth="1"/>
    <col min="6" max="10" width="3.7109375" style="1" bestFit="1" customWidth="1"/>
    <col min="11" max="11" width="27.85546875" customWidth="1"/>
    <col min="12" max="13" width="3.85546875" style="1" bestFit="1" customWidth="1"/>
    <col min="14" max="14" width="3.7109375" style="1" bestFit="1" customWidth="1"/>
    <col min="15" max="20" width="4.7109375" customWidth="1"/>
    <col min="21" max="21" width="6.5703125" customWidth="1"/>
    <col min="22" max="22" width="3.42578125" customWidth="1"/>
    <col min="23" max="23" width="16.85546875" customWidth="1"/>
    <col min="24" max="31" width="5.7109375" customWidth="1"/>
    <col min="33" max="40" width="5.7109375" customWidth="1"/>
  </cols>
  <sheetData>
    <row r="1" spans="1:42" x14ac:dyDescent="0.25">
      <c r="K1" t="str">
        <f ca="1">OFFSET(INDIRECT("База!$B$"&amp;P$2),0,F12)</f>
        <v>Производство</v>
      </c>
      <c r="P1">
        <f>ROW(Наука!B66)</f>
        <v>66</v>
      </c>
      <c r="Q1">
        <f>P1+1</f>
        <v>67</v>
      </c>
      <c r="R1" s="135">
        <f t="shared" ref="R1:S1" si="0">Q1+1</f>
        <v>68</v>
      </c>
      <c r="S1" s="135">
        <f t="shared" si="0"/>
        <v>69</v>
      </c>
    </row>
    <row r="2" spans="1:42" x14ac:dyDescent="0.25">
      <c r="P2">
        <f>ROW(База!B21)</f>
        <v>21</v>
      </c>
      <c r="Q2">
        <f>P2+1</f>
        <v>22</v>
      </c>
      <c r="R2">
        <f t="shared" ref="R2:S2" si="1">Q2+1</f>
        <v>23</v>
      </c>
      <c r="S2">
        <f t="shared" si="1"/>
        <v>24</v>
      </c>
      <c r="X2" s="304" t="s">
        <v>374</v>
      </c>
      <c r="Y2" s="304"/>
      <c r="Z2" s="304"/>
      <c r="AA2" s="304"/>
      <c r="AB2" s="304"/>
      <c r="AC2" s="304"/>
      <c r="AD2" s="304"/>
      <c r="AE2" s="304"/>
      <c r="AH2" s="304" t="s">
        <v>375</v>
      </c>
      <c r="AI2" s="305"/>
      <c r="AJ2" s="305"/>
      <c r="AK2" s="305"/>
      <c r="AL2" s="305"/>
      <c r="AM2" s="305"/>
      <c r="AN2" s="305"/>
    </row>
    <row r="3" spans="1:42" ht="70.5" customHeight="1" x14ac:dyDescent="0.25">
      <c r="A3" s="15" t="s">
        <v>40</v>
      </c>
      <c r="B3" s="15" t="s">
        <v>42</v>
      </c>
      <c r="C3" s="15" t="s">
        <v>0</v>
      </c>
      <c r="D3" s="42" t="s">
        <v>43</v>
      </c>
      <c r="E3" s="42" t="s">
        <v>131</v>
      </c>
      <c r="F3" s="43" t="s">
        <v>460</v>
      </c>
      <c r="G3" s="43" t="s">
        <v>462</v>
      </c>
      <c r="H3" s="43" t="s">
        <v>461</v>
      </c>
      <c r="I3" s="43" t="s">
        <v>199</v>
      </c>
      <c r="J3" s="43" t="s">
        <v>44</v>
      </c>
      <c r="K3" s="41" t="s">
        <v>174</v>
      </c>
      <c r="L3" s="40" t="str">
        <f>База!L2</f>
        <v>Мл</v>
      </c>
      <c r="M3" s="40" t="str">
        <f>База!L3</f>
        <v>Мн</v>
      </c>
      <c r="N3" s="40" t="str">
        <f>База!L4</f>
        <v>ОН</v>
      </c>
      <c r="O3" s="15"/>
      <c r="P3" s="15" t="str">
        <f>L3</f>
        <v>Мл</v>
      </c>
      <c r="Q3" s="15" t="str">
        <f t="shared" ref="Q3:R3" si="2">M3</f>
        <v>Мн</v>
      </c>
      <c r="R3" s="15" t="str">
        <f t="shared" si="2"/>
        <v>ОН</v>
      </c>
      <c r="S3" s="42" t="s">
        <v>201</v>
      </c>
      <c r="T3" s="42" t="s">
        <v>197</v>
      </c>
      <c r="U3" s="42" t="s">
        <v>174</v>
      </c>
      <c r="V3" s="42" t="s">
        <v>387</v>
      </c>
      <c r="W3" s="15" t="s">
        <v>378</v>
      </c>
      <c r="X3" s="44" t="str">
        <f>Нации!B3</f>
        <v>Русь</v>
      </c>
      <c r="Y3" s="44" t="str">
        <f>Нации!B4</f>
        <v>Римская империя</v>
      </c>
      <c r="Z3" s="44" t="str">
        <f>Нации!B5</f>
        <v>Индия</v>
      </c>
      <c r="AA3" s="44" t="str">
        <f>Нации!B6</f>
        <v>Великие монголы</v>
      </c>
      <c r="AB3" s="44" t="str">
        <f>Нации!B7</f>
        <v>Поднебесная</v>
      </c>
      <c r="AC3" s="44" t="str">
        <f>Нации!B8</f>
        <v>Индонезия</v>
      </c>
      <c r="AD3" s="44" t="str">
        <f>Нации!B9</f>
        <v>Египет</v>
      </c>
      <c r="AE3" s="44" t="str">
        <f>Нации!B10</f>
        <v>Зулусы</v>
      </c>
      <c r="AG3" s="44" t="str">
        <f t="shared" ref="AG3" si="3">X3</f>
        <v>Русь</v>
      </c>
      <c r="AH3" s="44" t="str">
        <f t="shared" ref="AH3:AN3" si="4">Y3</f>
        <v>Римская империя</v>
      </c>
      <c r="AI3" s="44" t="str">
        <f t="shared" si="4"/>
        <v>Индия</v>
      </c>
      <c r="AJ3" s="44" t="str">
        <f t="shared" si="4"/>
        <v>Великие монголы</v>
      </c>
      <c r="AK3" s="44" t="str">
        <f t="shared" si="4"/>
        <v>Поднебесная</v>
      </c>
      <c r="AL3" s="44" t="str">
        <f t="shared" si="4"/>
        <v>Индонезия</v>
      </c>
      <c r="AM3" s="44" t="str">
        <f t="shared" si="4"/>
        <v>Египет</v>
      </c>
      <c r="AN3" s="44" t="str">
        <f t="shared" si="4"/>
        <v>Зулусы</v>
      </c>
    </row>
    <row r="4" spans="1:42" x14ac:dyDescent="0.25">
      <c r="A4" s="15">
        <v>1</v>
      </c>
      <c r="B4" s="15" t="s">
        <v>10</v>
      </c>
      <c r="C4" s="15" t="s">
        <v>2</v>
      </c>
      <c r="D4" s="15">
        <v>5</v>
      </c>
      <c r="E4" s="15">
        <v>1</v>
      </c>
      <c r="F4" s="40">
        <v>2</v>
      </c>
      <c r="G4" s="40"/>
      <c r="H4" s="40">
        <v>3</v>
      </c>
      <c r="I4" s="40">
        <v>1</v>
      </c>
      <c r="J4" s="40">
        <v>1</v>
      </c>
      <c r="K4" s="15" t="str">
        <f>Чудеса!A22</f>
        <v>Сиднейский театр</v>
      </c>
      <c r="L4" s="226">
        <f>IF($C4&lt;&gt;"",$E4*VLOOKUP(VLOOKUP(C4,Нации!B$3:E$10,4,0),База!B$30:H$38,7,0)+F4+VLOOKUP(VLOOKUP(C4,Нации!$B$3:$E$10,4,0),База!$B$30:$M$38,10,0),"")</f>
        <v>4</v>
      </c>
      <c r="M4" s="226">
        <f>IF($C4&lt;&gt;"",$E4*VLOOKUP(VLOOKUP(C4,Нации!B$3:E$10,4,0),База!B$30:H$38,7,0)+G4+VLOOKUP(VLOOKUP(C4,Нации!$B$3:$E$10,4,0),База!$B$30:$M$38,11,0),"")</f>
        <v>2</v>
      </c>
      <c r="N4" s="245">
        <f>IF($C4&lt;&gt;"",$E4*VLOOKUP(VLOOKUP(C4,Нации!B$3:E$10,4,0),База!B$30:H$38,7,0)+H4+VLOOKUP(VLOOKUP(C4,Нации!$B$3:$E$10,4,0),База!$B$30:$M$38,12,0)+IF(K4&lt;&gt;"",VLOOKUP(K4,Чудеса!A$2:J$99,10,0),0),"")</f>
        <v>5</v>
      </c>
      <c r="O4" s="15" t="str">
        <f>IF(E4,База!$C$26,"")</f>
        <v>дворец</v>
      </c>
      <c r="P4" s="15" t="str">
        <f ca="1">O4&amp;IF(F4,IF(O4&lt;&gt;"",", ","")&amp;OFFSET(INDIRECT("База!$B$"&amp;P$2),0,F4)&amp;" ("&amp;ROMAN(F4)&amp;IF(F4&lt;HLOOKUP($C4,Наука!$D$1:$J$69,P$1),"*","")&amp;")","")</f>
        <v>дворец, мастерская (II)</v>
      </c>
      <c r="Q4" s="15" t="str">
        <f ca="1">P4&amp;IF(G4,IF(P4&lt;&gt;"",", ","")&amp;OFFSET(INDIRECT("База!$B$"&amp;Q$2),0,G4)&amp;" ("&amp;ROMAN(G4)&amp;IF(G4&lt;HLOOKUP($C4,Наука!$D$1:$J$69,Q$1),"*","")&amp;")","")</f>
        <v>дворец, мастерская (II)</v>
      </c>
      <c r="R4" s="15" t="str">
        <f ca="1">Q4&amp;IF(H4,IF(Q4&lt;&gt;"",", ","")&amp;OFFSET(INDIRECT("База!$B$"&amp;R$2),0,H4)&amp;" ("&amp;ROMAN(H4)&amp;IF(H4&lt;HLOOKUP($C4,Наука!$D$1:$J$69,R$1),"*","")&amp;")","")</f>
        <v>дворец, мастерская (II), лаборатория (III)</v>
      </c>
      <c r="S4" s="15" t="str">
        <f ca="1">R4&amp;IF(I4,IF(R4&lt;&gt;"",", ","")&amp;OFFSET(INDIRECT("База!$B$"&amp;S$2),0,I4)&amp;" ("&amp;ROMAN(I4)&amp;IF(I4&lt;HLOOKUP($C4,Наука!$D$1:$J$69,S$1),"*","")&amp;")","")</f>
        <v>дворец, мастерская (II), лаборатория (III), казармы (I*)</v>
      </c>
      <c r="T4" s="15" t="str">
        <f ca="1">S4&amp;IF(J4,IF(S4&lt;&gt;"",", ","")&amp;OFFSET(База!$B$25,0,J4)&amp;" (защита +3)","")</f>
        <v>дворец, мастерская (II), лаборатория (III), казармы (I*), стены (защита +3)</v>
      </c>
      <c r="U4" s="15" t="str">
        <f ca="1">T4&amp;IF(K4&lt;&gt;"",IF(T4&lt;&gt;"",", ","")&amp;K4&amp;" (Чудо света"&amp;IF(VLOOKUP(K4,Чудеса!A:H,8,0),", "&amp;VLOOKUP(K4,Чудеса!A:G,7,0),"")&amp;")","")</f>
        <v>дворец, мастерская (II), лаборатория (III), казармы (I*), стены (защита +3), Сиднейский театр (Чудо света)</v>
      </c>
      <c r="V4" s="15">
        <f ca="1">OFFSET(База!$O$2,D4,0)</f>
        <v>3125000</v>
      </c>
      <c r="W4" s="15" t="str">
        <f ca="1">"[br][b]"&amp;B4&amp;"[/b] (нас: "&amp;D4&amp;"; +"&amp;L4&amp;" "&amp;База!$L$2&amp;", +"&amp;M4&amp;" "&amp;База!$L$3&amp;", "&amp;TEXT(N4,"+#;-#;+0")&amp;" "&amp;База!$L$4&amp;")"&amp;IF(U4&lt;&gt;"",". Постройки: "&amp;U4&amp;".","")</f>
        <v>[br][b]Москва[/b] (нас: 5; +4 Мл, +2 Мн, +5 ОН). Постройки: дворец, мастерская (II), лаборатория (III), казармы (I*), стены (защита +3), Сиднейский театр (Чудо света).</v>
      </c>
      <c r="X4" s="15" t="str">
        <f ca="1">IF(X$3=$C4,"[li][b]"&amp;$B4&amp;"[/b] (нас: "&amp;$D4&amp;")"&amp;IF($K4&lt;&gt;"",". Чудо света: "&amp;$K4,"")&amp;"[/li]","")&amp;X5</f>
        <v>[li][b]Москва[/b] (нас: 5). Чудо света: Сиднейский театр[/li][li][b]Рим[/b] (нас: 5)[/li][li][b]Пекин[/b] (нас: 5)[/li][li][b]Петербург[/b]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4" s="15" t="str">
        <f t="shared" ref="Y4:Y53" si="5">IF(Y$3=$C4,"[li][b]"&amp;$B4&amp;"[/b] (нас: "&amp;$D4&amp;")"&amp;IF($K4&lt;&gt;"",". Чудо света: "&amp;$K4,"")&amp;"[/li]","")&amp;Y5</f>
        <v>[br]Всего население (примерно, с учетом агломераций): 000  человек.</v>
      </c>
      <c r="Z4" s="15" t="str">
        <f t="shared" ref="Z4:Z53" si="6">IF(Z$3=$C4,"[li][b]"&amp;$B4&amp;"[/b] (нас: "&amp;$D4&amp;")"&amp;IF($K4&lt;&gt;"",". Чудо света: "&amp;$K4,"")&amp;"[/li]","")&amp;Z5</f>
        <v>[br]Всего население (примерно, с учетом агломераций): 000  человек.</v>
      </c>
      <c r="AA4" s="15" t="str">
        <f t="shared" ref="AA4:AA53" ca="1" si="7">IF(AA$3=$C4,"[li][b]"&amp;$B4&amp;"[/b] (нас: "&amp;$D4&amp;")"&amp;IF($K4&lt;&gt;"",". Чудо света: "&amp;$K4,"")&amp;"[/li]","")&amp;AA5</f>
        <v>[li][b]Астрахань[/b] (нас: 5)[/li][li][b]Мумбаи[/b] (нас: 1)[/li][br]Всего население (примерно, с учетом агломераций): 3 130 000  человек.</v>
      </c>
      <c r="AB4" s="15" t="str">
        <f t="shared" ref="AB4:AB53" ca="1" si="8">IF(AB$3=$C4,"[li][b]"&amp;$B4&amp;"[/b] (нас: "&amp;$D4&amp;")"&amp;IF($K4&lt;&gt;"",". Чудо света: "&amp;$K4,"")&amp;"[/li]","")&amp;AB5</f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4" s="15" t="str">
        <f t="shared" ref="AC4:AC53" ca="1" si="9">IF(AC$3=$C4,"[li][b]"&amp;$B4&amp;"[/b] (нас: "&amp;$D4&amp;")"&amp;IF($K4&lt;&gt;"",". Чудо света: "&amp;$K4,"")&amp;"[/li]","")&amp;AC5</f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4" s="15" t="str">
        <f t="shared" ref="AD4:AD53" ca="1" si="10">IF(AD$3=$C4,"[li][b]"&amp;$B4&amp;"[/b] (нас: "&amp;$D4&amp;")"&amp;IF($K4&lt;&gt;"",". Чудо света: "&amp;$K4,"")&amp;"[/li]","")&amp;AD5</f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4" s="15" t="str">
        <f t="shared" ref="AE4:AE53" ca="1" si="11">IF(AE$3=$C4,"[li][b]"&amp;$B4&amp;"[/b] (нас: "&amp;$D4&amp;")"&amp;IF($K4&lt;&gt;"",". Чудо света: "&amp;$K4,"")&amp;"[/li]","")&amp;AE5</f>
        <v>[li][b]Мгунгундлова[/b] (нас: 1)[/li][br]Всего население (примерно, с учетом агломераций): 5 000  человек.</v>
      </c>
      <c r="AG4" s="15" t="str">
        <f ca="1">IF($C4=AG$3,$W4,"")&amp;AG5</f>
        <v>[br][b]Москва[/b] (нас: 5; +4 Мл, +2 Мн, +5 ОН). Постройки: дворец, мастерская (II), лаборатория (III), казармы (I*), стены (защита +3), Сиднейский театр (Чудо света).[br][b]Рим[/b] (нас: 5; +0 Мл, +0 Мн, +3 ОН). Постройки: лаборатория (III), стены (защита +3).[br][b]Пекин[/b] (нас: 5; +0 Мл, +0 Мн, +0 ОН)[br][b]Петербург[/b]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4" s="15" t="str">
        <f t="shared" ref="AH4:AH53" si="12">IF($C4=AH$3,$W4,"")&amp;AH5</f>
        <v/>
      </c>
      <c r="AI4" s="15" t="str">
        <f t="shared" ref="AI4:AI53" si="13">IF($C4=AI$3,$W4,"")&amp;AI5</f>
        <v/>
      </c>
      <c r="AJ4" s="15" t="str">
        <f t="shared" ref="AJ4:AJ53" ca="1" si="14">IF($C4=AJ$3,$W4,"")&amp;AJ5</f>
        <v>[br][b]Астрахань[/b] (нас: 5; +0 Мл, +0 Мн, +3 ОН). Постройки: лаборатория (III).[br][b]Мумбаи[/b] (нас: 1; +0 Мл, +0 Мн, +0 ОН)</v>
      </c>
      <c r="AK4" s="15" t="str">
        <f t="shared" ref="AK4:AK53" ca="1" si="15">IF($C4=AK$3,$W4,"")&amp;AK5</f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4" s="15" t="str">
        <f t="shared" ref="AL4:AL53" ca="1" si="16">IF($C4=AL$3,$W4,"")&amp;AL5</f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4" s="15" t="str">
        <f t="shared" ref="AM4:AM53" ca="1" si="17">IF($C4=AM$3,$W4,"")&amp;AM5</f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4" s="15" t="str">
        <f t="shared" ref="AN4:AN53" ca="1" si="18">IF($C4=AN$3,$W4,"")&amp;AN5</f>
        <v>[br][b]Мгунгундлова[/b] (нас: 1; +2 Мл, +2 Мн, +2 ОН). Постройки: дворец.</v>
      </c>
      <c r="AP4" t="str">
        <f>C4</f>
        <v>Русь</v>
      </c>
    </row>
    <row r="5" spans="1:42" x14ac:dyDescent="0.25">
      <c r="A5" s="15">
        <v>2</v>
      </c>
      <c r="B5" s="15" t="s">
        <v>11</v>
      </c>
      <c r="C5" s="15" t="s">
        <v>2</v>
      </c>
      <c r="D5" s="15">
        <v>5</v>
      </c>
      <c r="E5" s="15"/>
      <c r="F5" s="40"/>
      <c r="G5" s="40"/>
      <c r="H5" s="40">
        <v>3</v>
      </c>
      <c r="I5" s="40"/>
      <c r="J5" s="40">
        <v>1</v>
      </c>
      <c r="K5" s="15"/>
      <c r="L5" s="226">
        <f>IF($C5&lt;&gt;"",$E5*VLOOKUP(VLOOKUP(C5,Нации!B$3:E$10,4,0),База!B$30:H$38,7,0)+F5+VLOOKUP(VLOOKUP(C5,Нации!$B$3:$E$10,4,0),База!$B$30:$M$38,10,0),"")</f>
        <v>0</v>
      </c>
      <c r="M5" s="226">
        <f>IF($C5&lt;&gt;"",$E5*VLOOKUP(VLOOKUP(C5,Нации!B$3:E$10,4,0),База!B$30:H$38,7,0)+G5+VLOOKUP(VLOOKUP(C5,Нации!$B$3:$E$10,4,0),База!$B$30:$M$38,11,0),"")</f>
        <v>0</v>
      </c>
      <c r="N5" s="226">
        <f>IF($C5&lt;&gt;"",$E5*VLOOKUP(VLOOKUP(C5,Нации!B$3:E$10,4,0),База!B$30:H$38,7,0)+H5+VLOOKUP(VLOOKUP(C5,Нации!$B$3:$E$10,4,0),База!$B$30:$M$38,12,0)+IF(K5&lt;&gt;"",VLOOKUP(K5,Чудеса!A$2:J$99,10,0),0),"")</f>
        <v>3</v>
      </c>
      <c r="O5" s="15" t="str">
        <f>IF(E5,База!$C$26,"")</f>
        <v/>
      </c>
      <c r="P5" s="15" t="str">
        <f ca="1">O5&amp;IF(F5,IF(O5&lt;&gt;"",", ","")&amp;OFFSET(INDIRECT("База!$B$"&amp;P$2),0,F5)&amp;" ("&amp;ROMAN(F5)&amp;IF(F5&lt;HLOOKUP($C5,Наука!$D$1:$J$69,P$1),"*","")&amp;")","")</f>
        <v/>
      </c>
      <c r="Q5" s="15" t="str">
        <f ca="1">P5&amp;IF(G5,IF(P5&lt;&gt;"",", ","")&amp;OFFSET(INDIRECT("База!$B$"&amp;Q$2),0,G5)&amp;" ("&amp;ROMAN(G5)&amp;IF(G5&lt;HLOOKUP($C5,Наука!$D$1:$J$69,Q$1),"*","")&amp;")","")</f>
        <v/>
      </c>
      <c r="R5" s="15" t="str">
        <f ca="1">Q5&amp;IF(H5,IF(Q5&lt;&gt;"",", ","")&amp;OFFSET(INDIRECT("База!$B$"&amp;R$2),0,H5)&amp;" ("&amp;ROMAN(H5)&amp;IF(H5&lt;HLOOKUP($C5,Наука!$D$1:$J$69,R$1),"*","")&amp;")","")</f>
        <v>лаборатория (III)</v>
      </c>
      <c r="S5" s="15" t="str">
        <f ca="1">R5&amp;IF(I5,IF(R5&lt;&gt;"",", ","")&amp;OFFSET(INDIRECT("База!$B$"&amp;S$2),0,I5)&amp;" ("&amp;ROMAN(I5)&amp;IF(I5&lt;HLOOKUP($C5,Наука!$D$1:$J$69,S$1),"*","")&amp;")","")</f>
        <v>лаборатория (III)</v>
      </c>
      <c r="T5" s="15" t="str">
        <f ca="1">S5&amp;IF(J5,IF(S5&lt;&gt;"",", ","")&amp;OFFSET(База!$B$25,0,J5)&amp;" (защита +3)","")</f>
        <v>лаборатория (III), стены (защита +3)</v>
      </c>
      <c r="U5" s="15" t="str">
        <f ca="1">T5&amp;IF(K5&lt;&gt;"",IF(T5&lt;&gt;"",", ","")&amp;K5&amp;" (Чудо света"&amp;IF(VLOOKUP(K5,Чудеса!A:H,8,0),", "&amp;VLOOKUP(K5,Чудеса!A:G,7,0),"")&amp;")","")</f>
        <v>лаборатория (III), стены (защита +3)</v>
      </c>
      <c r="V5" s="15">
        <f ca="1">OFFSET(База!$O$2,D5,0)</f>
        <v>3125000</v>
      </c>
      <c r="W5" s="15" t="str">
        <f ca="1">"[br][b]"&amp;B5&amp;"[/b] (нас: "&amp;D5&amp;"; +"&amp;L5&amp;" "&amp;База!$L$2&amp;", +"&amp;M5&amp;" "&amp;База!$L$3&amp;", "&amp;TEXT(N5,"+#;-#;+0")&amp;" "&amp;База!$L$4&amp;")"&amp;IF(U5&lt;&gt;"",". Постройки: "&amp;U5&amp;".","")</f>
        <v>[br][b]Рим[/b] (нас: 5; +0 Мл, +0 Мн, +3 ОН). Постройки: лаборатория (III), стены (защита +3).</v>
      </c>
      <c r="X5" s="15" t="str">
        <f t="shared" ref="X5:X53" ca="1" si="19">IF(X$3=$C5,"[li][b]"&amp;$B5&amp;"[/b] (нас: "&amp;$D5&amp;")"&amp;IF($K5&lt;&gt;"",". Чудо света: "&amp;$K5,"")&amp;"[/li]","")&amp;X6</f>
        <v>[li][b]Рим[/b] (нас: 5)[/li][li][b]Пекин[/b] (нас: 5)[/li][li][b]Петербург[/b]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5" s="15" t="str">
        <f t="shared" si="5"/>
        <v>[br]Всего население (примерно, с учетом агломераций): 000  человек.</v>
      </c>
      <c r="Z5" s="15" t="str">
        <f t="shared" si="6"/>
        <v>[br]Всего население (примерно, с учетом агломераций): 000  человек.</v>
      </c>
      <c r="AA5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5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5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5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5" s="15" t="str">
        <f t="shared" ca="1" si="11"/>
        <v>[li][b]Мгунгундлова[/b] (нас: 1)[/li][br]Всего население (примерно, с учетом агломераций): 5 000  человек.</v>
      </c>
      <c r="AG5" s="15" t="str">
        <f t="shared" ref="AG5:AG53" ca="1" si="20">IF($C5=AG$3,$W5,"")&amp;AG6</f>
        <v>[br][b]Рим[/b] (нас: 5; +0 Мл, +0 Мн, +3 ОН). Постройки: лаборатория (III), стены (защита +3).[br][b]Пекин[/b] (нас: 5; +0 Мл, +0 Мн, +0 ОН)[br][b]Петербург[/b]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5" s="15" t="str">
        <f t="shared" si="12"/>
        <v/>
      </c>
      <c r="AI5" s="15" t="str">
        <f t="shared" si="13"/>
        <v/>
      </c>
      <c r="AJ5" s="15" t="str">
        <f t="shared" ca="1" si="14"/>
        <v>[br][b]Астрахань[/b] (нас: 5; +0 Мл, +0 Мн, +3 ОН). Постройки: лаборатория (III).[br][b]Мумбаи[/b] (нас: 1; +0 Мл, +0 Мн, +0 ОН)</v>
      </c>
      <c r="AK5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5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5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5" s="15" t="str">
        <f t="shared" ca="1" si="18"/>
        <v>[br][b]Мгунгундлова[/b] (нас: 1; +2 Мл, +2 Мн, +2 ОН). Постройки: дворец.</v>
      </c>
      <c r="AP5" s="227" t="str">
        <f t="shared" ref="AP5:AP53" si="21">C5</f>
        <v>Русь</v>
      </c>
    </row>
    <row r="6" spans="1:42" x14ac:dyDescent="0.25">
      <c r="A6" s="15">
        <v>3</v>
      </c>
      <c r="B6" s="15" t="s">
        <v>310</v>
      </c>
      <c r="C6" s="15"/>
      <c r="D6" s="15"/>
      <c r="E6" s="15"/>
      <c r="F6" s="40"/>
      <c r="G6" s="40"/>
      <c r="H6" s="40"/>
      <c r="I6" s="40"/>
      <c r="J6" s="40"/>
      <c r="K6" s="15"/>
      <c r="L6" s="226" t="str">
        <f>IF($C6&lt;&gt;"",$E6*VLOOKUP(VLOOKUP(C6,Нации!B$3:E$10,4,0),База!B$30:H$38,7,0)+F6+VLOOKUP(VLOOKUP(C6,Нации!$B$3:$E$10,4,0),База!$B$30:$M$38,10,0),"")</f>
        <v/>
      </c>
      <c r="M6" s="226" t="str">
        <f>IF($C6&lt;&gt;"",$E6*VLOOKUP(VLOOKUP(C6,Нации!B$3:E$10,4,0),База!B$30:H$38,7,0)+G6+VLOOKUP(VLOOKUP(C6,Нации!$B$3:$E$10,4,0),База!$B$30:$M$38,11,0),"")</f>
        <v/>
      </c>
      <c r="N6" s="245" t="str">
        <f>IF($C6&lt;&gt;"",$E6*VLOOKUP(VLOOKUP(C6,Нации!B$3:E$10,4,0),База!B$30:H$38,7,0)+H6+VLOOKUP(VLOOKUP(C6,Нации!$B$3:$E$10,4,0),База!$B$30:$M$38,12,0)+IF(K6&lt;&gt;"",VLOOKUP(K6,Чудеса!A$2:J$99,10,0),0),"")</f>
        <v/>
      </c>
      <c r="O6" s="15" t="str">
        <f>IF(E6,База!$C$26,"")</f>
        <v/>
      </c>
      <c r="P6" s="15" t="str">
        <f ca="1">O6&amp;IF(F6,IF(O6&lt;&gt;"",", ","")&amp;OFFSET(INDIRECT("База!$B$"&amp;P$2),0,F6)&amp;" ("&amp;ROMAN(F6)&amp;IF(F6&lt;HLOOKUP($C6,Наука!$D$1:$J$69,P$1),"*","")&amp;")","")</f>
        <v/>
      </c>
      <c r="Q6" s="15" t="str">
        <f ca="1">P6&amp;IF(G6,IF(P6&lt;&gt;"",", ","")&amp;OFFSET(INDIRECT("База!$B$"&amp;Q$2),0,G6)&amp;" ("&amp;ROMAN(G6)&amp;IF(G6&lt;HLOOKUP($C6,Наука!$D$1:$J$69,Q$1),"*","")&amp;")","")</f>
        <v/>
      </c>
      <c r="R6" s="15" t="str">
        <f ca="1">Q6&amp;IF(H6,IF(Q6&lt;&gt;"",", ","")&amp;OFFSET(INDIRECT("База!$B$"&amp;R$2),0,H6)&amp;" ("&amp;ROMAN(H6)&amp;IF(H6&lt;HLOOKUP($C6,Наука!$D$1:$J$69,R$1),"*","")&amp;")","")</f>
        <v/>
      </c>
      <c r="S6" s="15" t="str">
        <f ca="1">R6&amp;IF(I6,IF(R6&lt;&gt;"",", ","")&amp;OFFSET(INDIRECT("База!$B$"&amp;S$2),0,I6)&amp;" ("&amp;ROMAN(I6)&amp;IF(I6&lt;HLOOKUP($C6,Наука!$D$1:$J$69,S$1),"*","")&amp;")","")</f>
        <v/>
      </c>
      <c r="T6" s="15" t="str">
        <f ca="1">S6&amp;IF(J6,IF(S6&lt;&gt;"",", ","")&amp;OFFSET(База!$B$25,0,J6)&amp;" (защита +3)","")</f>
        <v/>
      </c>
      <c r="U6" s="15" t="str">
        <f ca="1">T6&amp;IF(K6&lt;&gt;"",IF(T6&lt;&gt;"",", ","")&amp;K6&amp;" (Чудо света"&amp;IF(VLOOKUP(K6,Чудеса!A:H,8,0),", "&amp;VLOOKUP(K6,Чудеса!A:G,7,0),"")&amp;")","")</f>
        <v/>
      </c>
      <c r="V6" s="15">
        <f ca="1">OFFSET(База!$O$2,D6,0)</f>
        <v>1000</v>
      </c>
      <c r="W6" s="15" t="str">
        <f ca="1">"[br][b]"&amp;B6&amp;"[/b] (нас: "&amp;D6&amp;"; +"&amp;L6&amp;" "&amp;База!$L$2&amp;", +"&amp;M6&amp;" "&amp;База!$L$3&amp;", "&amp;TEXT(N6,"+#;-#;+0")&amp;" "&amp;База!$L$4&amp;")"&amp;IF(U6&lt;&gt;"",". Постройки: "&amp;U6&amp;".","")</f>
        <v>[br][b]Мемфис[/b] (нас: ; + Мл, + Мн,  ОН)</v>
      </c>
      <c r="X6" s="15" t="str">
        <f t="shared" ca="1" si="19"/>
        <v>[li][b]Пекин[/b] (нас: 5)[/li][li][b]Петербург[/b]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6" s="15" t="str">
        <f t="shared" si="5"/>
        <v>[br]Всего население (примерно, с учетом агломераций): 000  человек.</v>
      </c>
      <c r="Z6" s="15" t="str">
        <f t="shared" si="6"/>
        <v>[br]Всего население (примерно, с учетом агломераций): 000  человек.</v>
      </c>
      <c r="AA6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6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6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6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6" s="15" t="str">
        <f t="shared" ca="1" si="11"/>
        <v>[li][b]Мгунгундлова[/b] (нас: 1)[/li][br]Всего население (примерно, с учетом агломераций): 5 000  человек.</v>
      </c>
      <c r="AG6" s="15" t="str">
        <f t="shared" ca="1" si="20"/>
        <v>[br][b]Пекин[/b] (нас: 5; +0 Мл, +0 Мн, +0 ОН)[br][b]Петербург[/b]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6" s="15" t="str">
        <f t="shared" si="12"/>
        <v/>
      </c>
      <c r="AI6" s="15" t="str">
        <f t="shared" si="13"/>
        <v/>
      </c>
      <c r="AJ6" s="15" t="str">
        <f t="shared" ca="1" si="14"/>
        <v>[br][b]Астрахань[/b] (нас: 5; +0 Мл, +0 Мн, +3 ОН). Постройки: лаборатория (III).[br][b]Мумбаи[/b] (нас: 1; +0 Мл, +0 Мн, +0 ОН)</v>
      </c>
      <c r="AK6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6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6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6" s="15" t="str">
        <f t="shared" ca="1" si="18"/>
        <v>[br][b]Мгунгундлова[/b] (нас: 1; +2 Мл, +2 Мн, +2 ОН). Постройки: дворец.</v>
      </c>
      <c r="AP6" s="227">
        <f t="shared" si="21"/>
        <v>0</v>
      </c>
    </row>
    <row r="7" spans="1:42" x14ac:dyDescent="0.25">
      <c r="A7" s="15">
        <v>4</v>
      </c>
      <c r="B7" s="15" t="s">
        <v>12</v>
      </c>
      <c r="C7" s="15"/>
      <c r="D7" s="15"/>
      <c r="E7" s="15"/>
      <c r="F7" s="40"/>
      <c r="G7" s="40"/>
      <c r="H7" s="40"/>
      <c r="I7" s="40"/>
      <c r="J7" s="40"/>
      <c r="K7" s="15"/>
      <c r="L7" s="226" t="str">
        <f>IF($C7&lt;&gt;"",$E7*VLOOKUP(VLOOKUP(C7,Нации!B$3:E$10,4,0),База!B$30:H$38,7,0)+F7+VLOOKUP(VLOOKUP(C7,Нации!$B$3:$E$10,4,0),База!$B$30:$M$38,10,0),"")</f>
        <v/>
      </c>
      <c r="M7" s="226" t="str">
        <f>IF($C7&lt;&gt;"",$E7*VLOOKUP(VLOOKUP(C7,Нации!B$3:E$10,4,0),База!B$30:H$38,7,0)+G7+VLOOKUP(VLOOKUP(C7,Нации!$B$3:$E$10,4,0),База!$B$30:$M$38,11,0),"")</f>
        <v/>
      </c>
      <c r="N7" s="245" t="str">
        <f>IF($C7&lt;&gt;"",$E7*VLOOKUP(VLOOKUP(C7,Нации!B$3:E$10,4,0),База!B$30:H$38,7,0)+H7+VLOOKUP(VLOOKUP(C7,Нации!$B$3:$E$10,4,0),База!$B$30:$M$38,12,0)+IF(K7&lt;&gt;"",VLOOKUP(K7,Чудеса!A$2:J$99,10,0),0),"")</f>
        <v/>
      </c>
      <c r="O7" s="15" t="str">
        <f>IF(E7,База!$C$26,"")</f>
        <v/>
      </c>
      <c r="P7" s="15" t="str">
        <f ca="1">O7&amp;IF(F7,IF(O7&lt;&gt;"",", ","")&amp;OFFSET(INDIRECT("База!$B$"&amp;P$2),0,F7)&amp;" ("&amp;ROMAN(F7)&amp;IF(F7&lt;HLOOKUP($C7,Наука!$D$1:$J$69,P$1),"*","")&amp;")","")</f>
        <v/>
      </c>
      <c r="Q7" s="15" t="str">
        <f ca="1">P7&amp;IF(G7,IF(P7&lt;&gt;"",", ","")&amp;OFFSET(INDIRECT("База!$B$"&amp;Q$2),0,G7)&amp;" ("&amp;ROMAN(G7)&amp;IF(G7&lt;HLOOKUP($C7,Наука!$D$1:$J$69,Q$1),"*","")&amp;")","")</f>
        <v/>
      </c>
      <c r="R7" s="15" t="str">
        <f ca="1">Q7&amp;IF(H7,IF(Q7&lt;&gt;"",", ","")&amp;OFFSET(INDIRECT("База!$B$"&amp;R$2),0,H7)&amp;" ("&amp;ROMAN(H7)&amp;IF(H7&lt;HLOOKUP($C7,Наука!$D$1:$J$69,R$1),"*","")&amp;")","")</f>
        <v/>
      </c>
      <c r="S7" s="15" t="str">
        <f ca="1">R7&amp;IF(I7,IF(R7&lt;&gt;"",", ","")&amp;OFFSET(INDIRECT("База!$B$"&amp;S$2),0,I7)&amp;" ("&amp;ROMAN(I7)&amp;IF(I7&lt;HLOOKUP($C7,Наука!$D$1:$J$69,S$1),"*","")&amp;")","")</f>
        <v/>
      </c>
      <c r="T7" s="15" t="str">
        <f ca="1">S7&amp;IF(J7,IF(S7&lt;&gt;"",", ","")&amp;OFFSET(База!$B$25,0,J7)&amp;" (защита +3)","")</f>
        <v/>
      </c>
      <c r="U7" s="15" t="str">
        <f ca="1">T7&amp;IF(K7&lt;&gt;"",IF(T7&lt;&gt;"",", ","")&amp;K7&amp;" (Чудо света"&amp;IF(VLOOKUP(K7,Чудеса!A:H,8,0),", "&amp;VLOOKUP(K7,Чудеса!A:G,7,0),"")&amp;")","")</f>
        <v/>
      </c>
      <c r="V7" s="15">
        <f ca="1">OFFSET(База!$O$2,D7,0)</f>
        <v>1000</v>
      </c>
      <c r="W7" s="15" t="str">
        <f ca="1">"[br][b]"&amp;B7&amp;"[/b] (нас: "&amp;D7&amp;"; +"&amp;L7&amp;" "&amp;База!$L$2&amp;", +"&amp;M7&amp;" "&amp;База!$L$3&amp;", "&amp;TEXT(N7,"+#;-#;+0")&amp;" "&amp;База!$L$4&amp;")"&amp;IF(U7&lt;&gt;"",". Постройки: "&amp;U7&amp;".","")</f>
        <v>[br][b]Сарай-Бату[/b] (нас: ; + Мл, + Мн,  ОН)</v>
      </c>
      <c r="X7" s="15" t="str">
        <f t="shared" ca="1" si="19"/>
        <v>[li][b]Пекин[/b] (нас: 5)[/li][li][b]Петербург[/b]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7" s="15" t="str">
        <f t="shared" si="5"/>
        <v>[br]Всего население (примерно, с учетом агломераций): 000  человек.</v>
      </c>
      <c r="Z7" s="15" t="str">
        <f t="shared" si="6"/>
        <v>[br]Всего население (примерно, с учетом агломераций): 000  человек.</v>
      </c>
      <c r="AA7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7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7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7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7" s="15" t="str">
        <f t="shared" ca="1" si="11"/>
        <v>[li][b]Мгунгундлова[/b] (нас: 1)[/li][br]Всего население (примерно, с учетом агломераций): 5 000  человек.</v>
      </c>
      <c r="AG7" s="15" t="str">
        <f t="shared" ca="1" si="20"/>
        <v>[br][b]Пекин[/b] (нас: 5; +0 Мл, +0 Мн, +0 ОН)[br][b]Петербург[/b]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7" s="15" t="str">
        <f t="shared" si="12"/>
        <v/>
      </c>
      <c r="AI7" s="15" t="str">
        <f t="shared" si="13"/>
        <v/>
      </c>
      <c r="AJ7" s="15" t="str">
        <f t="shared" ca="1" si="14"/>
        <v>[br][b]Астрахань[/b] (нас: 5; +0 Мл, +0 Мн, +3 ОН). Постройки: лаборатория (III).[br][b]Мумбаи[/b] (нас: 1; +0 Мл, +0 Мн, +0 ОН)</v>
      </c>
      <c r="AK7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7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7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7" s="15" t="str">
        <f t="shared" ca="1" si="18"/>
        <v>[br][b]Мгунгундлова[/b] (нас: 1; +2 Мл, +2 Мн, +2 ОН). Постройки: дворец.</v>
      </c>
      <c r="AP7" s="227">
        <f t="shared" si="21"/>
        <v>0</v>
      </c>
    </row>
    <row r="8" spans="1:42" x14ac:dyDescent="0.25">
      <c r="A8" s="15">
        <v>5</v>
      </c>
      <c r="B8" s="15" t="s">
        <v>13</v>
      </c>
      <c r="C8" s="15" t="s">
        <v>2</v>
      </c>
      <c r="D8" s="15">
        <v>5</v>
      </c>
      <c r="E8" s="15"/>
      <c r="F8" s="40"/>
      <c r="G8" s="40"/>
      <c r="H8" s="40"/>
      <c r="I8" s="40"/>
      <c r="J8" s="40"/>
      <c r="K8" s="15"/>
      <c r="L8" s="226">
        <f>IF($C8&lt;&gt;"",$E8*VLOOKUP(VLOOKUP(C8,Нации!B$3:E$10,4,0),База!B$30:H$38,7,0)+F8+VLOOKUP(VLOOKUP(C8,Нации!$B$3:$E$10,4,0),База!$B$30:$M$38,10,0),"")</f>
        <v>0</v>
      </c>
      <c r="M8" s="226">
        <f>IF($C8&lt;&gt;"",$E8*VLOOKUP(VLOOKUP(C8,Нации!B$3:E$10,4,0),База!B$30:H$38,7,0)+G8+VLOOKUP(VLOOKUP(C8,Нации!$B$3:$E$10,4,0),База!$B$30:$M$38,11,0),"")</f>
        <v>0</v>
      </c>
      <c r="N8" s="245">
        <f>IF($C8&lt;&gt;"",$E8*VLOOKUP(VLOOKUP(C8,Нации!B$3:E$10,4,0),База!B$30:H$38,7,0)+H8+VLOOKUP(VLOOKUP(C8,Нации!$B$3:$E$10,4,0),База!$B$30:$M$38,12,0)+IF(K8&lt;&gt;"",VLOOKUP(K8,Чудеса!A$2:J$99,10,0),0),"")</f>
        <v>0</v>
      </c>
      <c r="O8" s="15" t="str">
        <f>IF(E8,База!$C$26,"")</f>
        <v/>
      </c>
      <c r="P8" s="15" t="str">
        <f ca="1">O8&amp;IF(F8,IF(O8&lt;&gt;"",", ","")&amp;OFFSET(INDIRECT("База!$B$"&amp;P$2),0,F8)&amp;" ("&amp;ROMAN(F8)&amp;IF(F8&lt;HLOOKUP($C8,Наука!$D$1:$J$69,P$1),"*","")&amp;")","")</f>
        <v/>
      </c>
      <c r="Q8" s="15" t="str">
        <f ca="1">P8&amp;IF(G8,IF(P8&lt;&gt;"",", ","")&amp;OFFSET(INDIRECT("База!$B$"&amp;Q$2),0,G8)&amp;" ("&amp;ROMAN(G8)&amp;IF(G8&lt;HLOOKUP($C8,Наука!$D$1:$J$69,Q$1),"*","")&amp;")","")</f>
        <v/>
      </c>
      <c r="R8" s="15" t="str">
        <f ca="1">Q8&amp;IF(H8,IF(Q8&lt;&gt;"",", ","")&amp;OFFSET(INDIRECT("База!$B$"&amp;R$2),0,H8)&amp;" ("&amp;ROMAN(H8)&amp;IF(H8&lt;HLOOKUP($C8,Наука!$D$1:$J$69,R$1),"*","")&amp;")","")</f>
        <v/>
      </c>
      <c r="S8" s="15" t="str">
        <f ca="1">R8&amp;IF(I8,IF(R8&lt;&gt;"",", ","")&amp;OFFSET(INDIRECT("База!$B$"&amp;S$2),0,I8)&amp;" ("&amp;ROMAN(I8)&amp;IF(I8&lt;HLOOKUP($C8,Наука!$D$1:$J$69,S$1),"*","")&amp;")","")</f>
        <v/>
      </c>
      <c r="T8" s="15" t="str">
        <f ca="1">S8&amp;IF(J8,IF(S8&lt;&gt;"",", ","")&amp;OFFSET(База!$B$25,0,J8)&amp;" (защита +3)","")</f>
        <v/>
      </c>
      <c r="U8" s="15" t="str">
        <f ca="1">T8&amp;IF(K8&lt;&gt;"",IF(T8&lt;&gt;"",", ","")&amp;K8&amp;" (Чудо света"&amp;IF(VLOOKUP(K8,Чудеса!A:H,8,0),", "&amp;VLOOKUP(K8,Чудеса!A:G,7,0),"")&amp;")","")</f>
        <v/>
      </c>
      <c r="V8" s="15">
        <f ca="1">OFFSET(База!$O$2,D8,0)</f>
        <v>3125000</v>
      </c>
      <c r="W8" s="15" t="str">
        <f ca="1">"[br][b]"&amp;B8&amp;"[/b] (нас: "&amp;D8&amp;"; +"&amp;L8&amp;" "&amp;База!$L$2&amp;", +"&amp;M8&amp;" "&amp;База!$L$3&amp;", "&amp;TEXT(N8,"+#;-#;+0")&amp;" "&amp;База!$L$4&amp;")"&amp;IF(U8&lt;&gt;"",". Постройки: "&amp;U8&amp;".","")</f>
        <v>[br][b]Пекин[/b] (нас: 5; +0 Мл, +0 Мн, +0 ОН)</v>
      </c>
      <c r="X8" s="15" t="str">
        <f t="shared" ca="1" si="19"/>
        <v>[li][b]Пекин[/b] (нас: 5)[/li][li][b]Петербург[/b]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8" s="15" t="str">
        <f t="shared" si="5"/>
        <v>[br]Всего население (примерно, с учетом агломераций): 000  человек.</v>
      </c>
      <c r="Z8" s="15" t="str">
        <f t="shared" si="6"/>
        <v>[br]Всего население (примерно, с учетом агломераций): 000  человек.</v>
      </c>
      <c r="AA8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8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8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8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8" s="15" t="str">
        <f t="shared" ca="1" si="11"/>
        <v>[li][b]Мгунгундлова[/b] (нас: 1)[/li][br]Всего население (примерно, с учетом агломераций): 5 000  человек.</v>
      </c>
      <c r="AG8" s="15" t="str">
        <f t="shared" ca="1" si="20"/>
        <v>[br][b]Пекин[/b] (нас: 5; +0 Мл, +0 Мн, +0 ОН)[br][b]Петербург[/b]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8" s="15" t="str">
        <f t="shared" si="12"/>
        <v/>
      </c>
      <c r="AI8" s="15" t="str">
        <f t="shared" si="13"/>
        <v/>
      </c>
      <c r="AJ8" s="15" t="str">
        <f t="shared" ca="1" si="14"/>
        <v>[br][b]Астрахань[/b] (нас: 5; +0 Мл, +0 Мн, +3 ОН). Постройки: лаборатория (III).[br][b]Мумбаи[/b] (нас: 1; +0 Мл, +0 Мн, +0 ОН)</v>
      </c>
      <c r="AK8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8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8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8" s="15" t="str">
        <f t="shared" ca="1" si="18"/>
        <v>[br][b]Мгунгундлова[/b] (нас: 1; +2 Мл, +2 Мн, +2 ОН). Постройки: дворец.</v>
      </c>
      <c r="AP8" s="227" t="str">
        <f t="shared" si="21"/>
        <v>Русь</v>
      </c>
    </row>
    <row r="9" spans="1:42" x14ac:dyDescent="0.25">
      <c r="A9" s="15">
        <v>6</v>
      </c>
      <c r="B9" s="15" t="s">
        <v>14</v>
      </c>
      <c r="C9" s="15"/>
      <c r="D9" s="15">
        <v>6</v>
      </c>
      <c r="E9" s="15"/>
      <c r="F9" s="40"/>
      <c r="G9" s="40"/>
      <c r="H9" s="40">
        <v>3</v>
      </c>
      <c r="I9" s="40">
        <v>1</v>
      </c>
      <c r="J9" s="40">
        <v>1</v>
      </c>
      <c r="K9" s="15"/>
      <c r="L9" s="226" t="str">
        <f>IF($C9&lt;&gt;"",$E9*VLOOKUP(VLOOKUP(C9,Нации!B$3:E$10,4,0),База!B$30:H$38,7,0)+F9+VLOOKUP(VLOOKUP(C9,Нации!$B$3:$E$10,4,0),База!$B$30:$M$38,10,0),"")</f>
        <v/>
      </c>
      <c r="M9" s="226" t="str">
        <f>IF($C9&lt;&gt;"",$E9*VLOOKUP(VLOOKUP(C9,Нации!B$3:E$10,4,0),База!B$30:H$38,7,0)+G9+VLOOKUP(VLOOKUP(C9,Нации!$B$3:$E$10,4,0),База!$B$30:$M$38,11,0),"")</f>
        <v/>
      </c>
      <c r="N9" s="245" t="str">
        <f>IF($C9&lt;&gt;"",$E9*VLOOKUP(VLOOKUP(C9,Нации!B$3:E$10,4,0),База!B$30:H$38,7,0)+H9+VLOOKUP(VLOOKUP(C9,Нации!$B$3:$E$10,4,0),База!$B$30:$M$38,12,0)+IF(K9&lt;&gt;"",VLOOKUP(K9,Чудеса!A$2:J$99,10,0),0),"")</f>
        <v/>
      </c>
      <c r="O9" s="15" t="str">
        <f>IF(E9,База!$C$26,"")</f>
        <v/>
      </c>
      <c r="P9" s="15" t="str">
        <f ca="1">O9&amp;IF(F9,IF(O9&lt;&gt;"",", ","")&amp;OFFSET(INDIRECT("База!$B$"&amp;P$2),0,F9)&amp;" ("&amp;ROMAN(F9)&amp;IF(F9&lt;HLOOKUP($C9,Наука!$D$1:$J$69,P$1),"*","")&amp;")","")</f>
        <v/>
      </c>
      <c r="Q9" s="15" t="str">
        <f ca="1">P9&amp;IF(G9,IF(P9&lt;&gt;"",", ","")&amp;OFFSET(INDIRECT("База!$B$"&amp;Q$2),0,G9)&amp;" ("&amp;ROMAN(G9)&amp;IF(G9&lt;HLOOKUP($C9,Наука!$D$1:$J$69,Q$1),"*","")&amp;")","")</f>
        <v/>
      </c>
      <c r="R9" s="15" t="e">
        <f ca="1">Q9&amp;IF(H9,IF(Q9&lt;&gt;"",", ","")&amp;OFFSET(INDIRECT("База!$B$"&amp;R$2),0,H9)&amp;" ("&amp;ROMAN(H9)&amp;IF(H9&lt;HLOOKUP($C9,Наука!$D$1:$J$69,R$1),"*","")&amp;")","")</f>
        <v>#N/A</v>
      </c>
      <c r="S9" s="15" t="e">
        <f ca="1">R9&amp;IF(I9,IF(R9&lt;&gt;"",", ","")&amp;OFFSET(INDIRECT("База!$B$"&amp;S$2),0,I9)&amp;" ("&amp;ROMAN(I9)&amp;IF(I9&lt;HLOOKUP($C9,Наука!$D$1:$J$69,S$1),"*","")&amp;")","")</f>
        <v>#N/A</v>
      </c>
      <c r="T9" s="15" t="e">
        <f ca="1">S9&amp;IF(J9,IF(S9&lt;&gt;"",", ","")&amp;OFFSET(База!$B$25,0,J9)&amp;" (защита +3)","")</f>
        <v>#N/A</v>
      </c>
      <c r="U9" s="15" t="e">
        <f ca="1">T9&amp;IF(K9&lt;&gt;"",IF(T9&lt;&gt;"",", ","")&amp;K9&amp;" (Чудо света"&amp;IF(VLOOKUP(K9,Чудеса!A:H,8,0),", "&amp;VLOOKUP(K9,Чудеса!A:G,7,0),"")&amp;")","")</f>
        <v>#N/A</v>
      </c>
      <c r="V9" s="15">
        <f ca="1">OFFSET(База!$O$2,D9,0)</f>
        <v>15625000</v>
      </c>
      <c r="W9" s="15" t="e">
        <f ca="1">"[br][b]"&amp;B9&amp;"[/b] (нас: "&amp;D9&amp;"; +"&amp;L9&amp;" "&amp;База!$L$2&amp;", +"&amp;M9&amp;" "&amp;База!$L$3&amp;", "&amp;TEXT(N9,"+#;-#;+0")&amp;" "&amp;База!$L$4&amp;")"&amp;IF(U9&lt;&gt;"",". Постройки: "&amp;U9&amp;".","")</f>
        <v>#N/A</v>
      </c>
      <c r="X9" s="15" t="str">
        <f t="shared" ca="1" si="19"/>
        <v>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9" s="15" t="str">
        <f t="shared" si="5"/>
        <v>[br]Всего население (примерно, с учетом агломераций): 000  человек.</v>
      </c>
      <c r="Z9" s="15" t="str">
        <f t="shared" si="6"/>
        <v>[br]Всего население (примерно, с учетом агломераций): 000  человек.</v>
      </c>
      <c r="AA9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9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9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9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9" s="15" t="str">
        <f t="shared" ca="1" si="11"/>
        <v>[li][b]Мгунгундлова[/b] (нас: 1)[/li][br]Всего население (примерно, с учетом агломераций): 5 000  человек.</v>
      </c>
      <c r="AG9" s="15" t="str">
        <f t="shared" ca="1" si="20"/>
        <v>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9" s="15" t="str">
        <f t="shared" si="12"/>
        <v/>
      </c>
      <c r="AI9" s="15" t="str">
        <f t="shared" si="13"/>
        <v/>
      </c>
      <c r="AJ9" s="15" t="str">
        <f t="shared" ca="1" si="14"/>
        <v>[br][b]Астрахань[/b] (нас: 5; +0 Мл, +0 Мн, +3 ОН). Постройки: лаборатория (III).[br][b]Мумбаи[/b] (нас: 1; +0 Мл, +0 Мн, +0 ОН)</v>
      </c>
      <c r="AK9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9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9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9" s="15" t="str">
        <f t="shared" ca="1" si="18"/>
        <v>[br][b]Мгунгундлова[/b] (нас: 1; +2 Мл, +2 Мн, +2 ОН). Постройки: дворец.</v>
      </c>
      <c r="AP9" s="227">
        <f t="shared" si="21"/>
        <v>0</v>
      </c>
    </row>
    <row r="10" spans="1:42" x14ac:dyDescent="0.25">
      <c r="A10" s="15">
        <v>7</v>
      </c>
      <c r="B10" s="15" t="s">
        <v>16</v>
      </c>
      <c r="C10" s="15" t="s">
        <v>8</v>
      </c>
      <c r="D10" s="15">
        <v>1</v>
      </c>
      <c r="E10" s="15">
        <v>1</v>
      </c>
      <c r="F10" s="40"/>
      <c r="G10" s="40"/>
      <c r="H10" s="40"/>
      <c r="I10" s="40"/>
      <c r="J10" s="40"/>
      <c r="K10" s="15"/>
      <c r="L10" s="226">
        <f>IF($C10&lt;&gt;"",$E10*VLOOKUP(VLOOKUP(C10,Нации!B$3:E$10,4,0),База!B$30:H$38,7,0)+F10+VLOOKUP(VLOOKUP(C10,Нации!$B$3:$E$10,4,0),База!$B$30:$M$38,10,0),"")</f>
        <v>2</v>
      </c>
      <c r="M10" s="226">
        <f>IF($C10&lt;&gt;"",$E10*VLOOKUP(VLOOKUP(C10,Нации!B$3:E$10,4,0),База!B$30:H$38,7,0)+G10+VLOOKUP(VLOOKUP(C10,Нации!$B$3:$E$10,4,0),База!$B$30:$M$38,11,0),"")</f>
        <v>2</v>
      </c>
      <c r="N10" s="245">
        <f>IF($C10&lt;&gt;"",$E10*VLOOKUP(VLOOKUP(C10,Нации!B$3:E$10,4,0),База!B$30:H$38,7,0)+H10+VLOOKUP(VLOOKUP(C10,Нации!$B$3:$E$10,4,0),База!$B$30:$M$38,12,0)+IF(K10&lt;&gt;"",VLOOKUP(K10,Чудеса!A$2:J$99,10,0),0),"")</f>
        <v>2</v>
      </c>
      <c r="O10" s="15" t="str">
        <f>IF(E10,База!$C$26,"")</f>
        <v>дворец</v>
      </c>
      <c r="P10" s="15" t="str">
        <f ca="1">O10&amp;IF(F10,IF(O10&lt;&gt;"",", ","")&amp;OFFSET(INDIRECT("База!$B$"&amp;P$2),0,F10)&amp;" ("&amp;ROMAN(F10)&amp;IF(F10&lt;HLOOKUP($C10,Наука!$D$1:$J$69,P$1),"*","")&amp;")","")</f>
        <v>дворец</v>
      </c>
      <c r="Q10" s="15" t="str">
        <f ca="1">P10&amp;IF(G10,IF(P10&lt;&gt;"",", ","")&amp;OFFSET(INDIRECT("База!$B$"&amp;Q$2),0,G10)&amp;" ("&amp;ROMAN(G10)&amp;IF(G10&lt;HLOOKUP($C10,Наука!$D$1:$J$69,Q$1),"*","")&amp;")","")</f>
        <v>дворец</v>
      </c>
      <c r="R10" s="15" t="str">
        <f ca="1">Q10&amp;IF(H10,IF(Q10&lt;&gt;"",", ","")&amp;OFFSET(INDIRECT("База!$B$"&amp;R$2),0,H10)&amp;" ("&amp;ROMAN(H10)&amp;IF(H10&lt;HLOOKUP($C10,Наука!$D$1:$J$69,R$1),"*","")&amp;")","")</f>
        <v>дворец</v>
      </c>
      <c r="S10" s="15" t="str">
        <f ca="1">R10&amp;IF(I10,IF(R10&lt;&gt;"",", ","")&amp;OFFSET(INDIRECT("База!$B$"&amp;S$2),0,I10)&amp;" ("&amp;ROMAN(I10)&amp;IF(I10&lt;HLOOKUP($C10,Наука!$D$1:$J$69,S$1),"*","")&amp;")","")</f>
        <v>дворец</v>
      </c>
      <c r="T10" s="15" t="str">
        <f ca="1">S10&amp;IF(J10,IF(S10&lt;&gt;"",", ","")&amp;OFFSET(База!$B$25,0,J10)&amp;" (защита +3)","")</f>
        <v>дворец</v>
      </c>
      <c r="U10" s="15" t="str">
        <f ca="1">T10&amp;IF(K10&lt;&gt;"",IF(T10&lt;&gt;"",", ","")&amp;K10&amp;" (Чудо света"&amp;IF(VLOOKUP(K10,Чудеса!A:H,8,0),", "&amp;VLOOKUP(K10,Чудеса!A:G,7,0),"")&amp;")","")</f>
        <v>дворец</v>
      </c>
      <c r="V10" s="15">
        <f ca="1">OFFSET(База!$O$2,D10,0)</f>
        <v>5000</v>
      </c>
      <c r="W10" s="15" t="str">
        <f ca="1">"[br][b]"&amp;B10&amp;"[/b] (нас: "&amp;D10&amp;"; +"&amp;L10&amp;" "&amp;База!$L$2&amp;", +"&amp;M10&amp;" "&amp;База!$L$3&amp;", "&amp;TEXT(N10,"+#;-#;+0")&amp;" "&amp;База!$L$4&amp;")"&amp;IF(U10&lt;&gt;"",". Постройки: "&amp;U10&amp;".","")</f>
        <v>[br][b]Мгунгундлова[/b] (нас: 1; +2 Мл, +2 Мн, +2 ОН). Постройки: дворец.</v>
      </c>
      <c r="X10" s="15" t="str">
        <f t="shared" ca="1" si="19"/>
        <v>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0" s="15" t="str">
        <f t="shared" si="5"/>
        <v>[br]Всего население (примерно, с учетом агломераций): 000  человек.</v>
      </c>
      <c r="Z10" s="15" t="str">
        <f t="shared" si="6"/>
        <v>[br]Всего население (примерно, с учетом агломераций): 000  человек.</v>
      </c>
      <c r="AA10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10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0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0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0" s="15" t="str">
        <f t="shared" ca="1" si="11"/>
        <v>[li][b]Мгунгундлова[/b] (нас: 1)[/li][br]Всего население (примерно, с учетом агломераций): 5 000  человек.</v>
      </c>
      <c r="AG10" s="15" t="str">
        <f t="shared" ca="1" si="20"/>
        <v>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0" s="15" t="str">
        <f t="shared" si="12"/>
        <v/>
      </c>
      <c r="AI10" s="15" t="str">
        <f t="shared" si="13"/>
        <v/>
      </c>
      <c r="AJ10" s="15" t="str">
        <f t="shared" ca="1" si="14"/>
        <v>[br][b]Астрахань[/b] (нас: 5; +0 Мл, +0 Мн, +3 ОН). Постройки: лаборатория (III).[br][b]Мумбаи[/b] (нас: 1; +0 Мл, +0 Мн, +0 ОН)</v>
      </c>
      <c r="AK10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0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0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0" s="15" t="str">
        <f t="shared" ca="1" si="18"/>
        <v>[br][b]Мгунгундлова[/b] (нас: 1; +2 Мл, +2 Мн, +2 ОН). Постройки: дворец.</v>
      </c>
      <c r="AP10" s="227" t="str">
        <f t="shared" si="21"/>
        <v>Зулусы</v>
      </c>
    </row>
    <row r="11" spans="1:42" x14ac:dyDescent="0.25">
      <c r="A11" s="15">
        <v>8</v>
      </c>
      <c r="B11" s="15" t="s">
        <v>15</v>
      </c>
      <c r="C11" s="15"/>
      <c r="D11" s="15">
        <v>1</v>
      </c>
      <c r="E11" s="15"/>
      <c r="F11" s="40"/>
      <c r="G11" s="40"/>
      <c r="H11" s="40"/>
      <c r="I11" s="40">
        <v>2</v>
      </c>
      <c r="J11" s="40">
        <v>1</v>
      </c>
      <c r="K11" s="15"/>
      <c r="L11" s="226" t="str">
        <f>IF($C11&lt;&gt;"",$E11*VLOOKUP(VLOOKUP(C11,Нации!B$3:E$10,4,0),База!B$30:H$38,7,0)+F11+VLOOKUP(VLOOKUP(C11,Нации!$B$3:$E$10,4,0),База!$B$30:$M$38,10,0),"")</f>
        <v/>
      </c>
      <c r="M11" s="226" t="str">
        <f>IF($C11&lt;&gt;"",$E11*VLOOKUP(VLOOKUP(C11,Нации!B$3:E$10,4,0),База!B$30:H$38,7,0)+G11+VLOOKUP(VLOOKUP(C11,Нации!$B$3:$E$10,4,0),База!$B$30:$M$38,11,0),"")</f>
        <v/>
      </c>
      <c r="N11" s="245" t="str">
        <f>IF($C11&lt;&gt;"",$E11*VLOOKUP(VLOOKUP(C11,Нации!B$3:E$10,4,0),База!B$30:H$38,7,0)+H11+VLOOKUP(VLOOKUP(C11,Нации!$B$3:$E$10,4,0),База!$B$30:$M$38,12,0)+IF(K11&lt;&gt;"",VLOOKUP(K11,Чудеса!A$2:J$99,10,0),0),"")</f>
        <v/>
      </c>
      <c r="O11" s="15" t="str">
        <f>IF(E11,База!$C$26,"")</f>
        <v/>
      </c>
      <c r="P11" s="15" t="str">
        <f ca="1">O11&amp;IF(F11,IF(O11&lt;&gt;"",", ","")&amp;OFFSET(INDIRECT("База!$B$"&amp;P$2),0,F11)&amp;" ("&amp;ROMAN(F11)&amp;IF(F11&lt;HLOOKUP($C11,Наука!$D$1:$J$69,P$1),"*","")&amp;")","")</f>
        <v/>
      </c>
      <c r="Q11" s="15" t="str">
        <f ca="1">P11&amp;IF(G11,IF(P11&lt;&gt;"",", ","")&amp;OFFSET(INDIRECT("База!$B$"&amp;Q$2),0,G11)&amp;" ("&amp;ROMAN(G11)&amp;IF(G11&lt;HLOOKUP($C11,Наука!$D$1:$J$69,Q$1),"*","")&amp;")","")</f>
        <v/>
      </c>
      <c r="R11" s="15" t="str">
        <f ca="1">Q11&amp;IF(H11,IF(Q11&lt;&gt;"",", ","")&amp;OFFSET(INDIRECT("База!$B$"&amp;R$2),0,H11)&amp;" ("&amp;ROMAN(H11)&amp;IF(H11&lt;HLOOKUP($C11,Наука!$D$1:$J$69,R$1),"*","")&amp;")","")</f>
        <v/>
      </c>
      <c r="S11" s="15" t="e">
        <f ca="1">R11&amp;IF(I11,IF(R11&lt;&gt;"",", ","")&amp;OFFSET(INDIRECT("База!$B$"&amp;S$2),0,I11)&amp;" ("&amp;ROMAN(I11)&amp;IF(I11&lt;HLOOKUP($C11,Наука!$D$1:$J$69,S$1),"*","")&amp;")","")</f>
        <v>#N/A</v>
      </c>
      <c r="T11" s="15" t="e">
        <f ca="1">S11&amp;IF(J11,IF(S11&lt;&gt;"",", ","")&amp;OFFSET(База!$B$25,0,J11)&amp;" (защита +3)","")</f>
        <v>#N/A</v>
      </c>
      <c r="U11" s="15" t="e">
        <f ca="1">T11&amp;IF(K11&lt;&gt;"",IF(T11&lt;&gt;"",", ","")&amp;K11&amp;" (Чудо света"&amp;IF(VLOOKUP(K11,Чудеса!A:H,8,0),", "&amp;VLOOKUP(K11,Чудеса!A:G,7,0),"")&amp;")","")</f>
        <v>#N/A</v>
      </c>
      <c r="V11" s="15">
        <f ca="1">OFFSET(База!$O$2,D11,0)</f>
        <v>5000</v>
      </c>
      <c r="W11" s="15" t="e">
        <f ca="1">"[br][b]"&amp;B11&amp;"[/b] (нас: "&amp;D11&amp;"; +"&amp;L11&amp;" "&amp;База!$L$2&amp;", +"&amp;M11&amp;" "&amp;База!$L$3&amp;", "&amp;TEXT(N11,"+#;-#;+0")&amp;" "&amp;База!$L$4&amp;")"&amp;IF(U11&lt;&gt;"",". Постройки: "&amp;U11&amp;".","")</f>
        <v>#N/A</v>
      </c>
      <c r="X11" s="15" t="str">
        <f t="shared" ca="1" si="19"/>
        <v>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1" s="15" t="str">
        <f t="shared" si="5"/>
        <v>[br]Всего население (примерно, с учетом агломераций): 000  человек.</v>
      </c>
      <c r="Z11" s="15" t="str">
        <f t="shared" si="6"/>
        <v>[br]Всего население (примерно, с учетом агломераций): 000  человек.</v>
      </c>
      <c r="AA11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11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1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1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1" s="15" t="str">
        <f t="shared" ca="1" si="11"/>
        <v>[br]Всего население (примерно, с учетом агломераций): 5 000  человек.</v>
      </c>
      <c r="AG11" s="15" t="str">
        <f t="shared" ca="1" si="20"/>
        <v>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1" s="15" t="str">
        <f t="shared" si="12"/>
        <v/>
      </c>
      <c r="AI11" s="15" t="str">
        <f t="shared" si="13"/>
        <v/>
      </c>
      <c r="AJ11" s="15" t="str">
        <f t="shared" ca="1" si="14"/>
        <v>[br][b]Астрахань[/b] (нас: 5; +0 Мл, +0 Мн, +3 ОН). Постройки: лаборатория (III).[br][b]Мумбаи[/b] (нас: 1; +0 Мл, +0 Мн, +0 ОН)</v>
      </c>
      <c r="AK11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1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1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1" s="15" t="str">
        <f t="shared" si="18"/>
        <v/>
      </c>
      <c r="AP11" s="227">
        <f t="shared" si="21"/>
        <v>0</v>
      </c>
    </row>
    <row r="12" spans="1:42" x14ac:dyDescent="0.25">
      <c r="A12" s="15">
        <v>9</v>
      </c>
      <c r="B12" s="15" t="s">
        <v>312</v>
      </c>
      <c r="C12" s="15"/>
      <c r="D12" s="15"/>
      <c r="E12" s="15"/>
      <c r="F12" s="40"/>
      <c r="G12" s="40"/>
      <c r="H12" s="40"/>
      <c r="I12" s="40"/>
      <c r="J12" s="40"/>
      <c r="K12" s="15"/>
      <c r="L12" s="226" t="str">
        <f>IF($C12&lt;&gt;"",$E12*VLOOKUP(VLOOKUP(C12,Нации!B$3:E$10,4,0),База!B$30:H$38,7,0)+F12+VLOOKUP(VLOOKUP(C12,Нации!$B$3:$E$10,4,0),База!$B$30:$M$38,10,0),"")</f>
        <v/>
      </c>
      <c r="M12" s="226" t="str">
        <f>IF($C12&lt;&gt;"",$E12*VLOOKUP(VLOOKUP(C12,Нации!B$3:E$10,4,0),База!B$30:H$38,7,0)+G12+VLOOKUP(VLOOKUP(C12,Нации!$B$3:$E$10,4,0),База!$B$30:$M$38,11,0),"")</f>
        <v/>
      </c>
      <c r="N12" s="245" t="str">
        <f>IF($C12&lt;&gt;"",$E12*VLOOKUP(VLOOKUP(C12,Нации!B$3:E$10,4,0),База!B$30:H$38,7,0)+H12+VLOOKUP(VLOOKUP(C12,Нации!$B$3:$E$10,4,0),База!$B$30:$M$38,12,0)+IF(K12&lt;&gt;"",VLOOKUP(K12,Чудеса!A$2:J$99,10,0),0),"")</f>
        <v/>
      </c>
      <c r="O12" s="15" t="str">
        <f>IF(E12,База!$C$26,"")</f>
        <v/>
      </c>
      <c r="P12" s="15" t="str">
        <f ca="1">O12&amp;IF(F12,IF(O12&lt;&gt;"",", ","")&amp;OFFSET(INDIRECT("База!$B$"&amp;P$2),0,F12)&amp;" ("&amp;ROMAN(F12)&amp;IF(F12&lt;HLOOKUP($C12,Наука!$D$1:$J$69,P$1),"*","")&amp;")","")</f>
        <v/>
      </c>
      <c r="Q12" s="15" t="str">
        <f ca="1">P12&amp;IF(G12,IF(P12&lt;&gt;"",", ","")&amp;OFFSET(INDIRECT("База!$B$"&amp;Q$2),0,G12)&amp;" ("&amp;ROMAN(G12)&amp;IF(G12&lt;HLOOKUP($C12,Наука!$D$1:$J$69,Q$1),"*","")&amp;")","")</f>
        <v/>
      </c>
      <c r="R12" s="15" t="str">
        <f ca="1">Q12&amp;IF(H12,IF(Q12&lt;&gt;"",", ","")&amp;OFFSET(INDIRECT("База!$B$"&amp;R$2),0,H12)&amp;" ("&amp;ROMAN(H12)&amp;IF(H12&lt;HLOOKUP($C12,Наука!$D$1:$J$69,R$1),"*","")&amp;")","")</f>
        <v/>
      </c>
      <c r="S12" s="15" t="str">
        <f ca="1">R12&amp;IF(I12,IF(R12&lt;&gt;"",", ","")&amp;OFFSET(INDIRECT("База!$B$"&amp;S$2),0,I12)&amp;" ("&amp;ROMAN(I12)&amp;IF(I12&lt;HLOOKUP($C12,Наука!$D$1:$J$69,S$1),"*","")&amp;")","")</f>
        <v/>
      </c>
      <c r="T12" s="15" t="str">
        <f ca="1">S12&amp;IF(J12,IF(S12&lt;&gt;"",", ","")&amp;OFFSET(База!$B$25,0,J12)&amp;" (защита +3)","")</f>
        <v/>
      </c>
      <c r="U12" s="15" t="str">
        <f ca="1">T12&amp;IF(K12&lt;&gt;"",IF(T12&lt;&gt;"",", ","")&amp;K12&amp;" (Чудо света"&amp;IF(VLOOKUP(K12,Чудеса!A:H,8,0),", "&amp;VLOOKUP(K12,Чудеса!A:G,7,0),"")&amp;")","")</f>
        <v/>
      </c>
      <c r="V12" s="15">
        <f ca="1">OFFSET(База!$O$2,D12,0)</f>
        <v>1000</v>
      </c>
      <c r="W12" s="15" t="str">
        <f ca="1">"[br][b]"&amp;B12&amp;"[/b] (нас: "&amp;D12&amp;"; +"&amp;L12&amp;" "&amp;База!$L$2&amp;", +"&amp;M12&amp;" "&amp;База!$L$3&amp;", "&amp;TEXT(N12,"+#;-#;+0")&amp;" "&amp;База!$L$4&amp;")"&amp;IF(U12&lt;&gt;"",". Постройки: "&amp;U12&amp;".","")</f>
        <v>[br][b]Мумбаи[/b] (нас: ; + Мл, + Мн,  ОН)</v>
      </c>
      <c r="X12" s="15" t="str">
        <f t="shared" ca="1" si="19"/>
        <v>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2" s="15" t="str">
        <f t="shared" si="5"/>
        <v>[br]Всего население (примерно, с учетом агломераций): 000  человек.</v>
      </c>
      <c r="Z12" s="15" t="str">
        <f t="shared" si="6"/>
        <v>[br]Всего население (примерно, с учетом агломераций): 000  человек.</v>
      </c>
      <c r="AA12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12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2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2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2" s="15" t="str">
        <f t="shared" ca="1" si="11"/>
        <v>[br]Всего население (примерно, с учетом агломераций): 5 000  человек.</v>
      </c>
      <c r="AG12" s="15" t="str">
        <f t="shared" ca="1" si="20"/>
        <v>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2" s="15" t="str">
        <f t="shared" si="12"/>
        <v/>
      </c>
      <c r="AI12" s="15" t="str">
        <f t="shared" si="13"/>
        <v/>
      </c>
      <c r="AJ12" s="15" t="str">
        <f t="shared" ca="1" si="14"/>
        <v>[br][b]Астрахань[/b] (нас: 5; +0 Мл, +0 Мн, +3 ОН). Постройки: лаборатория (III).[br][b]Мумбаи[/b] (нас: 1; +0 Мл, +0 Мн, +0 ОН)</v>
      </c>
      <c r="AK12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2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2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2" s="15" t="str">
        <f t="shared" si="18"/>
        <v/>
      </c>
      <c r="AP12" s="227">
        <f t="shared" si="21"/>
        <v>0</v>
      </c>
    </row>
    <row r="13" spans="1:42" x14ac:dyDescent="0.25">
      <c r="A13" s="15">
        <v>10</v>
      </c>
      <c r="B13" s="15" t="s">
        <v>313</v>
      </c>
      <c r="C13" s="15"/>
      <c r="D13" s="15">
        <v>0</v>
      </c>
      <c r="E13" s="15"/>
      <c r="F13" s="40"/>
      <c r="G13" s="40"/>
      <c r="H13" s="40"/>
      <c r="I13" s="40"/>
      <c r="J13" s="40"/>
      <c r="K13" s="15"/>
      <c r="L13" s="226" t="str">
        <f>IF($C13&lt;&gt;"",$E13*VLOOKUP(VLOOKUP(C13,Нации!B$3:E$10,4,0),База!B$30:H$38,7,0)+F13+VLOOKUP(VLOOKUP(C13,Нации!$B$3:$E$10,4,0),База!$B$30:$M$38,10,0),"")</f>
        <v/>
      </c>
      <c r="M13" s="226" t="str">
        <f>IF($C13&lt;&gt;"",$E13*VLOOKUP(VLOOKUP(C13,Нации!B$3:E$10,4,0),База!B$30:H$38,7,0)+G13+VLOOKUP(VLOOKUP(C13,Нации!$B$3:$E$10,4,0),База!$B$30:$M$38,11,0),"")</f>
        <v/>
      </c>
      <c r="N13" s="245" t="str">
        <f>IF($C13&lt;&gt;"",$E13*VLOOKUP(VLOOKUP(C13,Нации!B$3:E$10,4,0),База!B$30:H$38,7,0)+H13+VLOOKUP(VLOOKUP(C13,Нации!$B$3:$E$10,4,0),База!$B$30:$M$38,12,0)+IF(K13&lt;&gt;"",VLOOKUP(K13,Чудеса!A$2:J$99,10,0),0),"")</f>
        <v/>
      </c>
      <c r="O13" s="15" t="str">
        <f>IF(E13,База!$C$26,"")</f>
        <v/>
      </c>
      <c r="P13" s="15" t="str">
        <f ca="1">O13&amp;IF(F13,IF(O13&lt;&gt;"",", ","")&amp;OFFSET(INDIRECT("База!$B$"&amp;P$2),0,F13)&amp;" ("&amp;ROMAN(F13)&amp;IF(F13&lt;HLOOKUP($C13,Наука!$D$1:$J$69,P$1),"*","")&amp;")","")</f>
        <v/>
      </c>
      <c r="Q13" s="15" t="str">
        <f ca="1">P13&amp;IF(G13,IF(P13&lt;&gt;"",", ","")&amp;OFFSET(INDIRECT("База!$B$"&amp;Q$2),0,G13)&amp;" ("&amp;ROMAN(G13)&amp;IF(G13&lt;HLOOKUP($C13,Наука!$D$1:$J$69,Q$1),"*","")&amp;")","")</f>
        <v/>
      </c>
      <c r="R13" s="15" t="str">
        <f ca="1">Q13&amp;IF(H13,IF(Q13&lt;&gt;"",", ","")&amp;OFFSET(INDIRECT("База!$B$"&amp;R$2),0,H13)&amp;" ("&amp;ROMAN(H13)&amp;IF(H13&lt;HLOOKUP($C13,Наука!$D$1:$J$69,R$1),"*","")&amp;")","")</f>
        <v/>
      </c>
      <c r="S13" s="15" t="str">
        <f ca="1">R13&amp;IF(I13,IF(R13&lt;&gt;"",", ","")&amp;OFFSET(INDIRECT("База!$B$"&amp;S$2),0,I13)&amp;" ("&amp;ROMAN(I13)&amp;IF(I13&lt;HLOOKUP($C13,Наука!$D$1:$J$69,S$1),"*","")&amp;")","")</f>
        <v/>
      </c>
      <c r="T13" s="15" t="str">
        <f ca="1">S13&amp;IF(J13,IF(S13&lt;&gt;"",", ","")&amp;OFFSET(База!$B$25,0,J13)&amp;" (защита +3)","")</f>
        <v/>
      </c>
      <c r="U13" s="15" t="str">
        <f ca="1">T13&amp;IF(K13&lt;&gt;"",IF(T13&lt;&gt;"",", ","")&amp;K13&amp;" (Чудо света"&amp;IF(VLOOKUP(K13,Чудеса!A:H,8,0),", "&amp;VLOOKUP(K13,Чудеса!A:G,7,0),"")&amp;")","")</f>
        <v/>
      </c>
      <c r="V13" s="15">
        <f ca="1">OFFSET(База!$O$2,D13,0)</f>
        <v>1000</v>
      </c>
      <c r="W13" s="15" t="str">
        <f ca="1">"[br][b]"&amp;B13&amp;"[/b] (нас: "&amp;D13&amp;"; +"&amp;L13&amp;" "&amp;База!$L$2&amp;", +"&amp;M13&amp;" "&amp;База!$L$3&amp;", "&amp;TEXT(N13,"+#;-#;+0")&amp;" "&amp;База!$L$4&amp;")"&amp;IF(U13&lt;&gt;"",". Постройки: "&amp;U13&amp;".","")</f>
        <v>[br][b]Медая[/b] (нас: 0; + Мл, + Мн,  ОН)</v>
      </c>
      <c r="X13" s="15" t="str">
        <f t="shared" ca="1" si="19"/>
        <v>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3" s="15" t="str">
        <f t="shared" si="5"/>
        <v>[br]Всего население (примерно, с учетом агломераций): 000  человек.</v>
      </c>
      <c r="Z13" s="15" t="str">
        <f t="shared" si="6"/>
        <v>[br]Всего население (примерно, с учетом агломераций): 000  человек.</v>
      </c>
      <c r="AA13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13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3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3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3" s="15" t="str">
        <f t="shared" ca="1" si="11"/>
        <v>[br]Всего население (примерно, с учетом агломераций): 5 000  человек.</v>
      </c>
      <c r="AG13" s="15" t="str">
        <f t="shared" ca="1" si="20"/>
        <v>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3" s="15" t="str">
        <f t="shared" si="12"/>
        <v/>
      </c>
      <c r="AI13" s="15" t="str">
        <f t="shared" si="13"/>
        <v/>
      </c>
      <c r="AJ13" s="15" t="str">
        <f t="shared" ca="1" si="14"/>
        <v>[br][b]Астрахань[/b] (нас: 5; +0 Мл, +0 Мн, +3 ОН). Постройки: лаборатория (III).[br][b]Мумбаи[/b] (нас: 1; +0 Мл, +0 Мн, +0 ОН)</v>
      </c>
      <c r="AK13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3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3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3" s="15" t="str">
        <f t="shared" si="18"/>
        <v/>
      </c>
      <c r="AP13" s="227">
        <f t="shared" si="21"/>
        <v>0</v>
      </c>
    </row>
    <row r="14" spans="1:42" x14ac:dyDescent="0.25">
      <c r="A14" s="15">
        <v>11</v>
      </c>
      <c r="B14" s="15" t="s">
        <v>314</v>
      </c>
      <c r="C14" s="15" t="s">
        <v>2</v>
      </c>
      <c r="D14" s="15">
        <v>5</v>
      </c>
      <c r="E14" s="15"/>
      <c r="F14" s="40">
        <v>2</v>
      </c>
      <c r="G14" s="40"/>
      <c r="H14" s="40">
        <v>3</v>
      </c>
      <c r="I14" s="40"/>
      <c r="J14" s="40">
        <v>1</v>
      </c>
      <c r="K14" s="15" t="str">
        <f>Чудеса!A23</f>
        <v>Пентагон</v>
      </c>
      <c r="L14" s="226">
        <f>IF($C14&lt;&gt;"",$E14*VLOOKUP(VLOOKUP(C14,Нации!B$3:E$10,4,0),База!B$30:H$38,7,0)+F14+VLOOKUP(VLOOKUP(C14,Нации!$B$3:$E$10,4,0),База!$B$30:$M$38,10,0),"")</f>
        <v>2</v>
      </c>
      <c r="M14" s="226">
        <f>IF($C14&lt;&gt;"",$E14*VLOOKUP(VLOOKUP(C14,Нации!B$3:E$10,4,0),База!B$30:H$38,7,0)+G14+VLOOKUP(VLOOKUP(C14,Нации!$B$3:$E$10,4,0),База!$B$30:$M$38,11,0),"")</f>
        <v>0</v>
      </c>
      <c r="N14" s="245">
        <f>IF($C14&lt;&gt;"",$E14*VLOOKUP(VLOOKUP(C14,Нации!B$3:E$10,4,0),База!B$30:H$38,7,0)+H14+VLOOKUP(VLOOKUP(C14,Нации!$B$3:$E$10,4,0),База!$B$30:$M$38,12,0)+IF(K14&lt;&gt;"",VLOOKUP(K14,Чудеса!A$2:J$99,10,0),0),"")</f>
        <v>3</v>
      </c>
      <c r="O14" s="15" t="str">
        <f>IF(E14,База!$C$26,"")</f>
        <v/>
      </c>
      <c r="P14" s="15" t="str">
        <f ca="1">O14&amp;IF(F14,IF(O14&lt;&gt;"",", ","")&amp;OFFSET(INDIRECT("База!$B$"&amp;P$2),0,F14)&amp;" ("&amp;ROMAN(F14)&amp;IF(F14&lt;HLOOKUP($C14,Наука!$D$1:$J$69,P$1),"*","")&amp;")","")</f>
        <v>мастерская (II)</v>
      </c>
      <c r="Q14" s="15" t="str">
        <f ca="1">P14&amp;IF(G14,IF(P14&lt;&gt;"",", ","")&amp;OFFSET(INDIRECT("База!$B$"&amp;Q$2),0,G14)&amp;" ("&amp;ROMAN(G14)&amp;IF(G14&lt;HLOOKUP($C14,Наука!$D$1:$J$69,Q$1),"*","")&amp;")","")</f>
        <v>мастерская (II)</v>
      </c>
      <c r="R14" s="15" t="str">
        <f ca="1">Q14&amp;IF(H14,IF(Q14&lt;&gt;"",", ","")&amp;OFFSET(INDIRECT("База!$B$"&amp;R$2),0,H14)&amp;" ("&amp;ROMAN(H14)&amp;IF(H14&lt;HLOOKUP($C14,Наука!$D$1:$J$69,R$1),"*","")&amp;")","")</f>
        <v>мастерская (II), лаборатория (III)</v>
      </c>
      <c r="S14" s="15" t="str">
        <f ca="1">R14&amp;IF(I14,IF(R14&lt;&gt;"",", ","")&amp;OFFSET(INDIRECT("База!$B$"&amp;S$2),0,I14)&amp;" ("&amp;ROMAN(I14)&amp;IF(I14&lt;HLOOKUP($C14,Наука!$D$1:$J$69,S$1),"*","")&amp;")","")</f>
        <v>мастерская (II), лаборатория (III)</v>
      </c>
      <c r="T14" s="15" t="str">
        <f ca="1">S14&amp;IF(J14,IF(S14&lt;&gt;"",", ","")&amp;OFFSET(База!$B$25,0,J14)&amp;" (защита +3)","")</f>
        <v>мастерская (II), лаборатория (III), стены (защита +3)</v>
      </c>
      <c r="U14" s="15" t="str">
        <f ca="1">T14&amp;IF(K14&lt;&gt;"",IF(T14&lt;&gt;"",", ","")&amp;K14&amp;" (Чудо света"&amp;IF(VLOOKUP(K14,Чудеса!A:H,8,0),", "&amp;VLOOKUP(K14,Чудеса!A:G,7,0),"")&amp;")","")</f>
        <v>мастерская (II), лаборатория (III), стены (защита +3), Пентагон (Чудо света)</v>
      </c>
      <c r="V14" s="15">
        <f ca="1">OFFSET(База!$O$2,D14,0)</f>
        <v>3125000</v>
      </c>
      <c r="W14" s="15" t="str">
        <f ca="1">"[br][b]"&amp;B14&amp;"[/b] (нас: "&amp;D14&amp;"; +"&amp;L14&amp;" "&amp;База!$L$2&amp;", +"&amp;M14&amp;" "&amp;База!$L$3&amp;", "&amp;TEXT(N14,"+#;-#;+0")&amp;" "&amp;База!$L$4&amp;")"&amp;IF(U14&lt;&gt;"",". Постройки: "&amp;U14&amp;".","")</f>
        <v>[br][b]Петербург[/b] (нас: 5; +2 Мл, +0 Мн, +3 ОН). Постройки: мастерская (II), лаборатория (III), стены (защита +3), Пентагон (Чудо света).</v>
      </c>
      <c r="X14" s="15" t="str">
        <f t="shared" ca="1" si="19"/>
        <v>[li][b]Петербург[/b] (нас: 5). Чудо света: Пентагон[/li][li][b]Воронеж[/b]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4" s="15" t="str">
        <f t="shared" si="5"/>
        <v>[br]Всего население (примерно, с учетом агломераций): 000  человек.</v>
      </c>
      <c r="Z14" s="15" t="str">
        <f t="shared" si="6"/>
        <v>[br]Всего население (примерно, с учетом агломераций): 000  человек.</v>
      </c>
      <c r="AA14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14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4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4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4" s="15" t="str">
        <f t="shared" ca="1" si="11"/>
        <v>[br]Всего население (примерно, с учетом агломераций): 5 000  человек.</v>
      </c>
      <c r="AG14" s="15" t="str">
        <f t="shared" ca="1" si="20"/>
        <v>[br][b]Петербург[/b] (нас: 5; +2 Мл, +0 Мн, +3 ОН). Постройки: мастерская (II), лаборатория (III), стены (защита +3), Пентагон (Чудо света).[br][b]Воронеж[/b]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4" s="15" t="str">
        <f t="shared" si="12"/>
        <v/>
      </c>
      <c r="AI14" s="15" t="str">
        <f t="shared" si="13"/>
        <v/>
      </c>
      <c r="AJ14" s="15" t="str">
        <f t="shared" ca="1" si="14"/>
        <v>[br][b]Астрахань[/b] (нас: 5; +0 Мл, +0 Мн, +3 ОН). Постройки: лаборатория (III).[br][b]Мумбаи[/b] (нас: 1; +0 Мл, +0 Мн, +0 ОН)</v>
      </c>
      <c r="AK14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4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4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4" s="15" t="str">
        <f t="shared" si="18"/>
        <v/>
      </c>
      <c r="AP14" s="227" t="str">
        <f t="shared" si="21"/>
        <v>Русь</v>
      </c>
    </row>
    <row r="15" spans="1:42" x14ac:dyDescent="0.25">
      <c r="A15" s="15">
        <v>12</v>
      </c>
      <c r="B15" s="15" t="s">
        <v>315</v>
      </c>
      <c r="C15" s="15" t="s">
        <v>6</v>
      </c>
      <c r="D15" s="15">
        <v>6</v>
      </c>
      <c r="E15" s="15"/>
      <c r="F15" s="40">
        <v>2</v>
      </c>
      <c r="G15" s="40"/>
      <c r="H15" s="40">
        <v>3</v>
      </c>
      <c r="I15" s="40">
        <v>1</v>
      </c>
      <c r="J15" s="40">
        <v>1</v>
      </c>
      <c r="K15" s="15" t="str">
        <f>Чудеса!A20</f>
        <v>ООН</v>
      </c>
      <c r="L15" s="226">
        <f>IF($C15&lt;&gt;"",$E15*VLOOKUP(VLOOKUP(C15,Нации!B$3:E$10,4,0),База!B$30:H$38,7,0)+F15+VLOOKUP(VLOOKUP(C15,Нации!$B$3:$E$10,4,0),База!$B$30:$M$38,10,0),"")</f>
        <v>2</v>
      </c>
      <c r="M15" s="226">
        <f>IF($C15&lt;&gt;"",$E15*VLOOKUP(VLOOKUP(C15,Нации!B$3:E$10,4,0),База!B$30:H$38,7,0)+G15+VLOOKUP(VLOOKUP(C15,Нации!$B$3:$E$10,4,0),База!$B$30:$M$38,11,0),"")</f>
        <v>0</v>
      </c>
      <c r="N15" s="245">
        <f>IF($C15&lt;&gt;"",$E15*VLOOKUP(VLOOKUP(C15,Нации!B$3:E$10,4,0),База!B$30:H$38,7,0)+H15+VLOOKUP(VLOOKUP(C15,Нации!$B$3:$E$10,4,0),База!$B$30:$M$38,12,0)+IF(K15&lt;&gt;"",VLOOKUP(K15,Чудеса!A$2:J$99,10,0),0),"")</f>
        <v>3</v>
      </c>
      <c r="O15" s="15" t="str">
        <f>IF(E15,База!$C$26,"")</f>
        <v/>
      </c>
      <c r="P15" s="15" t="str">
        <f ca="1">O15&amp;IF(F15,IF(O15&lt;&gt;"",", ","")&amp;OFFSET(INDIRECT("База!$B$"&amp;P$2),0,F15)&amp;" ("&amp;ROMAN(F15)&amp;IF(F15&lt;HLOOKUP($C15,Наука!$D$1:$J$69,P$1),"*","")&amp;")","")</f>
        <v>мастерская (II)</v>
      </c>
      <c r="Q15" s="15" t="str">
        <f ca="1">P15&amp;IF(G15,IF(P15&lt;&gt;"",", ","")&amp;OFFSET(INDIRECT("База!$B$"&amp;Q$2),0,G15)&amp;" ("&amp;ROMAN(G15)&amp;IF(G15&lt;HLOOKUP($C15,Наука!$D$1:$J$69,Q$1),"*","")&amp;")","")</f>
        <v>мастерская (II)</v>
      </c>
      <c r="R15" s="15" t="str">
        <f ca="1">Q15&amp;IF(H15,IF(Q15&lt;&gt;"",", ","")&amp;OFFSET(INDIRECT("База!$B$"&amp;R$2),0,H15)&amp;" ("&amp;ROMAN(H15)&amp;IF(H15&lt;HLOOKUP($C15,Наука!$D$1:$J$69,R$1),"*","")&amp;")","")</f>
        <v>мастерская (II), лаборатория (III)</v>
      </c>
      <c r="S15" s="15" t="str">
        <f ca="1">R15&amp;IF(I15,IF(R15&lt;&gt;"",", ","")&amp;OFFSET(INDIRECT("База!$B$"&amp;S$2),0,I15)&amp;" ("&amp;ROMAN(I15)&amp;IF(I15&lt;HLOOKUP($C15,Наука!$D$1:$J$69,S$1),"*","")&amp;")","")</f>
        <v>мастерская (II), лаборатория (III), казармы (I*)</v>
      </c>
      <c r="T15" s="15" t="str">
        <f ca="1">S15&amp;IF(J15,IF(S15&lt;&gt;"",", ","")&amp;OFFSET(База!$B$25,0,J15)&amp;" (защита +3)","")</f>
        <v>мастерская (II), лаборатория (III), казармы (I*), стены (защита +3)</v>
      </c>
      <c r="U15" s="15" t="str">
        <f ca="1">T15&amp;IF(K15&lt;&gt;"",IF(T15&lt;&gt;"",", ","")&amp;K15&amp;" (Чудо света"&amp;IF(VLOOKUP(K15,Чудеса!A:H,8,0),", "&amp;VLOOKUP(K15,Чудеса!A:G,7,0),"")&amp;")","")</f>
        <v>мастерская (II), лаборатория (III), казармы (I*), стены (защита +3), ООН (Чудо света)</v>
      </c>
      <c r="V15" s="15">
        <f ca="1">OFFSET(База!$O$2,D15,0)</f>
        <v>15625000</v>
      </c>
      <c r="W15" s="15" t="str">
        <f ca="1">"[br][b]"&amp;B15&amp;"[/b] (нас: "&amp;D15&amp;"; +"&amp;L15&amp;" "&amp;База!$L$2&amp;", +"&amp;M15&amp;" "&amp;База!$L$3&amp;", "&amp;TEXT(N15,"+#;-#;+0")&amp;" "&amp;База!$L$4&amp;")"&amp;IF(U15&lt;&gt;"",". Постройки: "&amp;U15&amp;".","")</f>
        <v>[br][b]Шанхай[/b] (нас: 6; +2 Мл, +0 Мн, +3 ОН). Постройки: мастерская (II), лаборатория (III), казармы (I*), стены (защита +3), ООН (Чудо света).</v>
      </c>
      <c r="X15" s="15" t="str">
        <f t="shared" ca="1" si="19"/>
        <v>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5" s="15" t="str">
        <f t="shared" si="5"/>
        <v>[br]Всего население (примерно, с учетом агломераций): 000  человек.</v>
      </c>
      <c r="Z15" s="15" t="str">
        <f t="shared" si="6"/>
        <v>[br]Всего население (примерно, с учетом агломераций): 000  человек.</v>
      </c>
      <c r="AA15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15" s="15" t="str">
        <f t="shared" ca="1" si="8"/>
        <v>[li][b]Шанхай[/b] (нас: 6). Чудо света: ООН[/li][li][b]Калькута[/b]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5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5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5" s="15" t="str">
        <f t="shared" ca="1" si="11"/>
        <v>[br]Всего население (примерно, с учетом агломераций): 5 000  человек.</v>
      </c>
      <c r="AG15" s="15" t="str">
        <f t="shared" ca="1" si="20"/>
        <v>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5" s="15" t="str">
        <f t="shared" si="12"/>
        <v/>
      </c>
      <c r="AI15" s="15" t="str">
        <f t="shared" si="13"/>
        <v/>
      </c>
      <c r="AJ15" s="15" t="str">
        <f t="shared" ca="1" si="14"/>
        <v>[br][b]Астрахань[/b] (нас: 5; +0 Мл, +0 Мн, +3 ОН). Постройки: лаборатория (III).[br][b]Мумбаи[/b] (нас: 1; +0 Мл, +0 Мн, +0 ОН)</v>
      </c>
      <c r="AK15" s="15" t="str">
        <f t="shared" ca="1" si="15"/>
        <v>[br][b]Шанхай[/b] (нас: 6; +2 Мл, +0 Мн, +3 ОН). Постройки: мастерская (II), лаборатория (III), казармы (I*), стены (защита +3), ООН (Чудо света).[br][b]Калькута[/b]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5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5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5" s="15" t="str">
        <f t="shared" si="18"/>
        <v/>
      </c>
      <c r="AP15" s="227" t="str">
        <f t="shared" si="21"/>
        <v>Поднебесная</v>
      </c>
    </row>
    <row r="16" spans="1:42" x14ac:dyDescent="0.25">
      <c r="A16" s="15">
        <v>13</v>
      </c>
      <c r="B16" s="15" t="s">
        <v>318</v>
      </c>
      <c r="C16" s="15" t="s">
        <v>6</v>
      </c>
      <c r="D16" s="15">
        <v>6</v>
      </c>
      <c r="E16" s="15"/>
      <c r="F16" s="40">
        <v>2</v>
      </c>
      <c r="G16" s="40"/>
      <c r="H16" s="40">
        <v>3</v>
      </c>
      <c r="I16" s="40">
        <v>1</v>
      </c>
      <c r="J16" s="40">
        <v>1</v>
      </c>
      <c r="K16" s="15" t="str">
        <f>Чудеса!A21</f>
        <v>БАК</v>
      </c>
      <c r="L16" s="226">
        <f>IF($C16&lt;&gt;"",$E16*VLOOKUP(VLOOKUP(C16,Нации!B$3:E$10,4,0),База!B$30:H$38,7,0)+F16+VLOOKUP(VLOOKUP(C16,Нации!$B$3:$E$10,4,0),База!$B$30:$M$38,10,0),"")</f>
        <v>2</v>
      </c>
      <c r="M16" s="226">
        <f>IF($C16&lt;&gt;"",$E16*VLOOKUP(VLOOKUP(C16,Нации!B$3:E$10,4,0),База!B$30:H$38,7,0)+G16+VLOOKUP(VLOOKUP(C16,Нации!$B$3:$E$10,4,0),База!$B$30:$M$38,11,0),"")</f>
        <v>0</v>
      </c>
      <c r="N16" s="245">
        <f>IF($C16&lt;&gt;"",$E16*VLOOKUP(VLOOKUP(C16,Нации!B$3:E$10,4,0),База!B$30:H$38,7,0)+H16+VLOOKUP(VLOOKUP(C16,Нации!$B$3:$E$10,4,0),База!$B$30:$M$38,12,0)+IF(K16&lt;&gt;"",VLOOKUP(K16,Чудеса!A$2:J$99,10,0),0),"")</f>
        <v>3</v>
      </c>
      <c r="O16" s="15" t="str">
        <f>IF(E16,База!$C$26,"")</f>
        <v/>
      </c>
      <c r="P16" s="15" t="str">
        <f ca="1">O16&amp;IF(F16,IF(O16&lt;&gt;"",", ","")&amp;OFFSET(INDIRECT("База!$B$"&amp;P$2),0,F16)&amp;" ("&amp;ROMAN(F16)&amp;IF(F16&lt;HLOOKUP($C16,Наука!$D$1:$J$69,P$1),"*","")&amp;")","")</f>
        <v>мастерская (II)</v>
      </c>
      <c r="Q16" s="15" t="str">
        <f ca="1">P16&amp;IF(G16,IF(P16&lt;&gt;"",", ","")&amp;OFFSET(INDIRECT("База!$B$"&amp;Q$2),0,G16)&amp;" ("&amp;ROMAN(G16)&amp;IF(G16&lt;HLOOKUP($C16,Наука!$D$1:$J$69,Q$1),"*","")&amp;")","")</f>
        <v>мастерская (II)</v>
      </c>
      <c r="R16" s="15" t="str">
        <f ca="1">Q16&amp;IF(H16,IF(Q16&lt;&gt;"",", ","")&amp;OFFSET(INDIRECT("База!$B$"&amp;R$2),0,H16)&amp;" ("&amp;ROMAN(H16)&amp;IF(H16&lt;HLOOKUP($C16,Наука!$D$1:$J$69,R$1),"*","")&amp;")","")</f>
        <v>мастерская (II), лаборатория (III)</v>
      </c>
      <c r="S16" s="15" t="str">
        <f ca="1">R16&amp;IF(I16,IF(R16&lt;&gt;"",", ","")&amp;OFFSET(INDIRECT("База!$B$"&amp;S$2),0,I16)&amp;" ("&amp;ROMAN(I16)&amp;IF(I16&lt;HLOOKUP($C16,Наука!$D$1:$J$69,S$1),"*","")&amp;")","")</f>
        <v>мастерская (II), лаборатория (III), казармы (I*)</v>
      </c>
      <c r="T16" s="15" t="str">
        <f ca="1">S16&amp;IF(J16,IF(S16&lt;&gt;"",", ","")&amp;OFFSET(База!$B$25,0,J16)&amp;" (защита +3)","")</f>
        <v>мастерская (II), лаборатория (III), казармы (I*), стены (защита +3)</v>
      </c>
      <c r="U16" s="15" t="str">
        <f ca="1">T16&amp;IF(K16&lt;&gt;"",IF(T16&lt;&gt;"",", ","")&amp;K16&amp;" (Чудо света"&amp;IF(VLOOKUP(K16,Чудеса!A:H,8,0),", "&amp;VLOOKUP(K16,Чудеса!A:G,7,0),"")&amp;")","")</f>
        <v>мастерская (II), лаборатория (III), казармы (I*), стены (защита +3), БАК (Чудо света)</v>
      </c>
      <c r="V16" s="15">
        <f ca="1">OFFSET(База!$O$2,D16,0)</f>
        <v>15625000</v>
      </c>
      <c r="W16" s="15" t="str">
        <f ca="1">"[br][b]"&amp;B16&amp;"[/b] (нас: "&amp;D16&amp;"; +"&amp;L16&amp;" "&amp;База!$L$2&amp;", +"&amp;M16&amp;" "&amp;База!$L$3&amp;", "&amp;TEXT(N16,"+#;-#;+0")&amp;" "&amp;База!$L$4&amp;")"&amp;IF(U16&lt;&gt;"",". Постройки: "&amp;U16&amp;".","")</f>
        <v>[br][b]Калькута[/b] (нас: 6; +2 Мл, +0 Мн, +3 ОН). Постройки: мастерская (II), лаборатория (III), казармы (I*), стены (защита +3), БАК (Чудо света).</v>
      </c>
      <c r="X16" s="15" t="str">
        <f t="shared" ca="1" si="19"/>
        <v>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6" s="15" t="str">
        <f t="shared" si="5"/>
        <v>[br]Всего население (примерно, с учетом агломераций): 000  человек.</v>
      </c>
      <c r="Z16" s="15" t="str">
        <f t="shared" si="6"/>
        <v>[br]Всего население (примерно, с учетом агломераций): 000  человек.</v>
      </c>
      <c r="AA16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16" s="15" t="str">
        <f t="shared" ca="1" si="8"/>
        <v>[li][b]Калькута[/b] (нас: 6). Чудо света: БАК[/li][li][b]Сиань[/b]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6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6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6" s="15" t="str">
        <f t="shared" ca="1" si="11"/>
        <v>[br]Всего население (примерно, с учетом агломераций): 5 000  человек.</v>
      </c>
      <c r="AG16" s="15" t="str">
        <f t="shared" ca="1" si="20"/>
        <v>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6" s="15" t="str">
        <f t="shared" si="12"/>
        <v/>
      </c>
      <c r="AI16" s="15" t="str">
        <f t="shared" si="13"/>
        <v/>
      </c>
      <c r="AJ16" s="15" t="str">
        <f t="shared" ca="1" si="14"/>
        <v>[br][b]Астрахань[/b] (нас: 5; +0 Мл, +0 Мн, +3 ОН). Постройки: лаборатория (III).[br][b]Мумбаи[/b] (нас: 1; +0 Мл, +0 Мн, +0 ОН)</v>
      </c>
      <c r="AK16" s="15" t="str">
        <f t="shared" ca="1" si="15"/>
        <v>[br][b]Калькута[/b] (нас: 6; +2 Мл, +0 Мн, +3 ОН). Постройки: мастерская (II), лаборатория (III), казармы (I*), стены (защита +3), БАК (Чудо света).[br][b]Сиань[/b]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6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6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6" s="15" t="str">
        <f t="shared" si="18"/>
        <v/>
      </c>
      <c r="AP16" s="227" t="str">
        <f t="shared" si="21"/>
        <v>Поднебесная</v>
      </c>
    </row>
    <row r="17" spans="1:42" x14ac:dyDescent="0.25">
      <c r="A17" s="15">
        <v>14</v>
      </c>
      <c r="B17" s="15" t="s">
        <v>319</v>
      </c>
      <c r="C17" s="15"/>
      <c r="D17" s="15">
        <v>1</v>
      </c>
      <c r="E17" s="15"/>
      <c r="F17" s="40"/>
      <c r="G17" s="40"/>
      <c r="H17" s="40"/>
      <c r="I17" s="40"/>
      <c r="J17" s="40"/>
      <c r="K17" s="15"/>
      <c r="L17" s="226" t="str">
        <f>IF($C17&lt;&gt;"",$E17*VLOOKUP(VLOOKUP(C17,Нации!B$3:E$10,4,0),База!B$30:H$38,7,0)+F17+VLOOKUP(VLOOKUP(C17,Нации!$B$3:$E$10,4,0),База!$B$30:$M$38,10,0),"")</f>
        <v/>
      </c>
      <c r="M17" s="226" t="str">
        <f>IF($C17&lt;&gt;"",$E17*VLOOKUP(VLOOKUP(C17,Нации!B$3:E$10,4,0),База!B$30:H$38,7,0)+G17+VLOOKUP(VLOOKUP(C17,Нации!$B$3:$E$10,4,0),База!$B$30:$M$38,11,0),"")</f>
        <v/>
      </c>
      <c r="N17" s="245" t="str">
        <f>IF($C17&lt;&gt;"",$E17*VLOOKUP(VLOOKUP(C17,Нации!B$3:E$10,4,0),База!B$30:H$38,7,0)+H17+VLOOKUP(VLOOKUP(C17,Нации!$B$3:$E$10,4,0),База!$B$30:$M$38,12,0)+IF(K17&lt;&gt;"",VLOOKUP(K17,Чудеса!A$2:J$99,10,0),0),"")</f>
        <v/>
      </c>
      <c r="O17" s="15" t="str">
        <f>IF(E17,База!$C$26,"")</f>
        <v/>
      </c>
      <c r="P17" s="15" t="str">
        <f ca="1">O17&amp;IF(F17,IF(O17&lt;&gt;"",", ","")&amp;OFFSET(INDIRECT("База!$B$"&amp;P$2),0,F17)&amp;" ("&amp;ROMAN(F17)&amp;IF(F17&lt;HLOOKUP($C17,Наука!$D$1:$J$69,P$1),"*","")&amp;")","")</f>
        <v/>
      </c>
      <c r="Q17" s="15" t="str">
        <f ca="1">P17&amp;IF(G17,IF(P17&lt;&gt;"",", ","")&amp;OFFSET(INDIRECT("База!$B$"&amp;Q$2),0,G17)&amp;" ("&amp;ROMAN(G17)&amp;IF(G17&lt;HLOOKUP($C17,Наука!$D$1:$J$69,Q$1),"*","")&amp;")","")</f>
        <v/>
      </c>
      <c r="R17" s="15" t="str">
        <f ca="1">Q17&amp;IF(H17,IF(Q17&lt;&gt;"",", ","")&amp;OFFSET(INDIRECT("База!$B$"&amp;R$2),0,H17)&amp;" ("&amp;ROMAN(H17)&amp;IF(H17&lt;HLOOKUP($C17,Наука!$D$1:$J$69,R$1),"*","")&amp;")","")</f>
        <v/>
      </c>
      <c r="S17" s="15" t="str">
        <f ca="1">R17&amp;IF(I17,IF(R17&lt;&gt;"",", ","")&amp;OFFSET(INDIRECT("База!$B$"&amp;S$2),0,I17)&amp;" ("&amp;ROMAN(I17)&amp;IF(I17&lt;HLOOKUP($C17,Наука!$D$1:$J$69,S$1),"*","")&amp;")","")</f>
        <v/>
      </c>
      <c r="T17" s="15" t="str">
        <f ca="1">S17&amp;IF(J17,IF(S17&lt;&gt;"",", ","")&amp;OFFSET(База!$B$25,0,J17)&amp;" (защита +3)","")</f>
        <v/>
      </c>
      <c r="U17" s="15" t="str">
        <f ca="1">T17&amp;IF(K17&lt;&gt;"",IF(T17&lt;&gt;"",", ","")&amp;K17&amp;" (Чудо света"&amp;IF(VLOOKUP(K17,Чудеса!A:H,8,0),", "&amp;VLOOKUP(K17,Чудеса!A:G,7,0),"")&amp;")","")</f>
        <v/>
      </c>
      <c r="V17" s="15">
        <f ca="1">OFFSET(База!$O$2,D17,0)</f>
        <v>5000</v>
      </c>
      <c r="W17" s="15" t="str">
        <f ca="1">"[br][b]"&amp;B17&amp;"[/b] (нас: "&amp;D17&amp;"; +"&amp;L17&amp;" "&amp;База!$L$2&amp;", +"&amp;M17&amp;" "&amp;База!$L$3&amp;", "&amp;TEXT(N17,"+#;-#;+0")&amp;" "&amp;База!$L$4&amp;")"&amp;IF(U17&lt;&gt;"",". Постройки: "&amp;U17&amp;".","")</f>
        <v>[br][b]Гиза[/b] (нас: 1; + Мл, + Мн,  ОН)</v>
      </c>
      <c r="X17" s="15" t="str">
        <f t="shared" ca="1" si="19"/>
        <v>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7" s="15" t="str">
        <f t="shared" si="5"/>
        <v>[br]Всего население (примерно, с учетом агломераций): 000  человек.</v>
      </c>
      <c r="Z17" s="15" t="str">
        <f t="shared" si="6"/>
        <v>[br]Всего население (примерно, с учетом агломераций): 000  человек.</v>
      </c>
      <c r="AA17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17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7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7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7" s="15" t="str">
        <f t="shared" ca="1" si="11"/>
        <v>[br]Всего население (примерно, с учетом агломераций): 5 000  человек.</v>
      </c>
      <c r="AG17" s="15" t="str">
        <f t="shared" ca="1" si="20"/>
        <v>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7" s="15" t="str">
        <f t="shared" si="12"/>
        <v/>
      </c>
      <c r="AI17" s="15" t="str">
        <f t="shared" si="13"/>
        <v/>
      </c>
      <c r="AJ17" s="15" t="str">
        <f t="shared" ca="1" si="14"/>
        <v>[br][b]Астрахань[/b] (нас: 5; +0 Мл, +0 Мн, +3 ОН). Постройки: лаборатория (III).[br][b]Мумбаи[/b] (нас: 1; +0 Мл, +0 Мн, +0 ОН)</v>
      </c>
      <c r="AK17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7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7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7" s="15" t="str">
        <f t="shared" si="18"/>
        <v/>
      </c>
      <c r="AP17" s="227">
        <f t="shared" si="21"/>
        <v>0</v>
      </c>
    </row>
    <row r="18" spans="1:42" x14ac:dyDescent="0.25">
      <c r="A18" s="15">
        <v>15</v>
      </c>
      <c r="B18" s="15" t="s">
        <v>320</v>
      </c>
      <c r="C18" s="15" t="s">
        <v>5</v>
      </c>
      <c r="D18" s="15">
        <v>5</v>
      </c>
      <c r="E18" s="15"/>
      <c r="F18" s="40"/>
      <c r="G18" s="40"/>
      <c r="H18" s="40">
        <v>3</v>
      </c>
      <c r="I18" s="40"/>
      <c r="J18" s="40"/>
      <c r="K18" s="15"/>
      <c r="L18" s="226">
        <f>IF($C18&lt;&gt;"",$E18*VLOOKUP(VLOOKUP(C18,Нации!B$3:E$10,4,0),База!B$30:H$38,7,0)+F18+VLOOKUP(VLOOKUP(C18,Нации!$B$3:$E$10,4,0),База!$B$30:$M$38,10,0),"")</f>
        <v>0</v>
      </c>
      <c r="M18" s="226">
        <f>IF($C18&lt;&gt;"",$E18*VLOOKUP(VLOOKUP(C18,Нации!B$3:E$10,4,0),База!B$30:H$38,7,0)+G18+VLOOKUP(VLOOKUP(C18,Нации!$B$3:$E$10,4,0),База!$B$30:$M$38,11,0),"")</f>
        <v>0</v>
      </c>
      <c r="N18" s="245">
        <f>IF($C18&lt;&gt;"",$E18*VLOOKUP(VLOOKUP(C18,Нации!B$3:E$10,4,0),База!B$30:H$38,7,0)+H18+VLOOKUP(VLOOKUP(C18,Нации!$B$3:$E$10,4,0),База!$B$30:$M$38,12,0)+IF(K18&lt;&gt;"",VLOOKUP(K18,Чудеса!A$2:J$99,10,0),0),"")</f>
        <v>3</v>
      </c>
      <c r="O18" s="15" t="str">
        <f>IF(E18,База!$C$26,"")</f>
        <v/>
      </c>
      <c r="P18" s="15" t="str">
        <f ca="1">O18&amp;IF(F18,IF(O18&lt;&gt;"",", ","")&amp;OFFSET(INDIRECT("База!$B$"&amp;P$2),0,F18)&amp;" ("&amp;ROMAN(F18)&amp;IF(F18&lt;HLOOKUP($C18,Наука!$D$1:$J$69,P$1),"*","")&amp;")","")</f>
        <v/>
      </c>
      <c r="Q18" s="15" t="str">
        <f ca="1">P18&amp;IF(G18,IF(P18&lt;&gt;"",", ","")&amp;OFFSET(INDIRECT("База!$B$"&amp;Q$2),0,G18)&amp;" ("&amp;ROMAN(G18)&amp;IF(G18&lt;HLOOKUP($C18,Наука!$D$1:$J$69,Q$1),"*","")&amp;")","")</f>
        <v/>
      </c>
      <c r="R18" s="15" t="str">
        <f ca="1">Q18&amp;IF(H18,IF(Q18&lt;&gt;"",", ","")&amp;OFFSET(INDIRECT("База!$B$"&amp;R$2),0,H18)&amp;" ("&amp;ROMAN(H18)&amp;IF(H18&lt;HLOOKUP($C18,Наука!$D$1:$J$69,R$1),"*","")&amp;")","")</f>
        <v>лаборатория (III)</v>
      </c>
      <c r="S18" s="15" t="str">
        <f ca="1">R18&amp;IF(I18,IF(R18&lt;&gt;"",", ","")&amp;OFFSET(INDIRECT("База!$B$"&amp;S$2),0,I18)&amp;" ("&amp;ROMAN(I18)&amp;IF(I18&lt;HLOOKUP($C18,Наука!$D$1:$J$69,S$1),"*","")&amp;")","")</f>
        <v>лаборатория (III)</v>
      </c>
      <c r="T18" s="15" t="str">
        <f ca="1">S18&amp;IF(J18,IF(S18&lt;&gt;"",", ","")&amp;OFFSET(База!$B$25,0,J18)&amp;" (защита +3)","")</f>
        <v>лаборатория (III)</v>
      </c>
      <c r="U18" s="15" t="str">
        <f ca="1">T18&amp;IF(K18&lt;&gt;"",IF(T18&lt;&gt;"",", ","")&amp;K18&amp;" (Чудо света"&amp;IF(VLOOKUP(K18,Чудеса!A:H,8,0),", "&amp;VLOOKUP(K18,Чудеса!A:G,7,0),"")&amp;")","")</f>
        <v>лаборатория (III)</v>
      </c>
      <c r="V18" s="15">
        <f ca="1">OFFSET(База!$O$2,D18,0)</f>
        <v>3125000</v>
      </c>
      <c r="W18" s="15" t="str">
        <f ca="1">"[br][b]"&amp;B18&amp;"[/b] (нас: "&amp;D18&amp;"; +"&amp;L18&amp;" "&amp;База!$L$2&amp;", +"&amp;M18&amp;" "&amp;База!$L$3&amp;", "&amp;TEXT(N18,"+#;-#;+0")&amp;" "&amp;База!$L$4&amp;")"&amp;IF(U18&lt;&gt;"",". Постройки: "&amp;U18&amp;".","")</f>
        <v>[br][b]Астрахань[/b] (нас: 5; +0 Мл, +0 Мн, +3 ОН). Постройки: лаборатория (III).</v>
      </c>
      <c r="X18" s="15" t="str">
        <f t="shared" ca="1" si="19"/>
        <v>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8" s="15" t="str">
        <f t="shared" si="5"/>
        <v>[br]Всего население (примерно, с учетом агломераций): 000  человек.</v>
      </c>
      <c r="Z18" s="15" t="str">
        <f t="shared" si="6"/>
        <v>[br]Всего население (примерно, с учетом агломераций): 000  человек.</v>
      </c>
      <c r="AA18" s="15" t="str">
        <f t="shared" ca="1" si="7"/>
        <v>[li][b]Астрахань[/b] (нас: 5)[/li][li][b]Мумбаи[/b] (нас: 1)[/li][br]Всего население (примерно, с учетом агломераций): 3 130 000  человек.</v>
      </c>
      <c r="AB18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8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8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8" s="15" t="str">
        <f t="shared" ca="1" si="11"/>
        <v>[br]Всего население (примерно, с учетом агломераций): 5 000  человек.</v>
      </c>
      <c r="AG18" s="15" t="str">
        <f t="shared" ca="1" si="20"/>
        <v>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8" s="15" t="str">
        <f t="shared" si="12"/>
        <v/>
      </c>
      <c r="AI18" s="15" t="str">
        <f t="shared" si="13"/>
        <v/>
      </c>
      <c r="AJ18" s="15" t="str">
        <f t="shared" ca="1" si="14"/>
        <v>[br][b]Астрахань[/b] (нас: 5; +0 Мл, +0 Мн, +3 ОН). Постройки: лаборатория (III).[br][b]Мумбаи[/b] (нас: 1; +0 Мл, +0 Мн, +0 ОН)</v>
      </c>
      <c r="AK18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8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8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8" s="15" t="str">
        <f t="shared" si="18"/>
        <v/>
      </c>
      <c r="AP18" s="227" t="str">
        <f t="shared" si="21"/>
        <v>Великие монголы</v>
      </c>
    </row>
    <row r="19" spans="1:42" x14ac:dyDescent="0.25">
      <c r="A19" s="15">
        <v>16</v>
      </c>
      <c r="B19" s="15" t="s">
        <v>321</v>
      </c>
      <c r="C19" s="15"/>
      <c r="D19" s="15"/>
      <c r="E19" s="15"/>
      <c r="F19" s="40"/>
      <c r="G19" s="40"/>
      <c r="H19" s="40"/>
      <c r="I19" s="40"/>
      <c r="J19" s="40"/>
      <c r="K19" s="15"/>
      <c r="L19" s="226" t="str">
        <f>IF($C19&lt;&gt;"",$E19*VLOOKUP(VLOOKUP(C19,Нации!B$3:E$10,4,0),База!B$30:H$38,7,0)+F19+VLOOKUP(VLOOKUP(C19,Нации!$B$3:$E$10,4,0),База!$B$30:$M$38,10,0),"")</f>
        <v/>
      </c>
      <c r="M19" s="226" t="str">
        <f>IF($C19&lt;&gt;"",$E19*VLOOKUP(VLOOKUP(C19,Нации!B$3:E$10,4,0),База!B$30:H$38,7,0)+G19+VLOOKUP(VLOOKUP(C19,Нации!$B$3:$E$10,4,0),База!$B$30:$M$38,11,0),"")</f>
        <v/>
      </c>
      <c r="N19" s="245" t="str">
        <f>IF($C19&lt;&gt;"",$E19*VLOOKUP(VLOOKUP(C19,Нации!B$3:E$10,4,0),База!B$30:H$38,7,0)+H19+VLOOKUP(VLOOKUP(C19,Нации!$B$3:$E$10,4,0),База!$B$30:$M$38,12,0)+IF(K19&lt;&gt;"",VLOOKUP(K19,Чудеса!A$2:J$99,10,0),0),"")</f>
        <v/>
      </c>
      <c r="O19" s="15" t="str">
        <f>IF(E19,База!$C$26,"")</f>
        <v/>
      </c>
      <c r="P19" s="15" t="str">
        <f ca="1">O19&amp;IF(F19,IF(O19&lt;&gt;"",", ","")&amp;OFFSET(INDIRECT("База!$B$"&amp;P$2),0,F19)&amp;" ("&amp;ROMAN(F19)&amp;IF(F19&lt;HLOOKUP($C19,Наука!$D$1:$J$69,P$1),"*","")&amp;")","")</f>
        <v/>
      </c>
      <c r="Q19" s="15" t="str">
        <f ca="1">P19&amp;IF(G19,IF(P19&lt;&gt;"",", ","")&amp;OFFSET(INDIRECT("База!$B$"&amp;Q$2),0,G19)&amp;" ("&amp;ROMAN(G19)&amp;IF(G19&lt;HLOOKUP($C19,Наука!$D$1:$J$69,Q$1),"*","")&amp;")","")</f>
        <v/>
      </c>
      <c r="R19" s="15" t="str">
        <f ca="1">Q19&amp;IF(H19,IF(Q19&lt;&gt;"",", ","")&amp;OFFSET(INDIRECT("База!$B$"&amp;R$2),0,H19)&amp;" ("&amp;ROMAN(H19)&amp;IF(H19&lt;HLOOKUP($C19,Наука!$D$1:$J$69,R$1),"*","")&amp;")","")</f>
        <v/>
      </c>
      <c r="S19" s="15" t="str">
        <f ca="1">R19&amp;IF(I19,IF(R19&lt;&gt;"",", ","")&amp;OFFSET(INDIRECT("База!$B$"&amp;S$2),0,I19)&amp;" ("&amp;ROMAN(I19)&amp;IF(I19&lt;HLOOKUP($C19,Наука!$D$1:$J$69,S$1),"*","")&amp;")","")</f>
        <v/>
      </c>
      <c r="T19" s="15" t="str">
        <f ca="1">S19&amp;IF(J19,IF(S19&lt;&gt;"",", ","")&amp;OFFSET(База!$B$25,0,J19)&amp;" (защита +3)","")</f>
        <v/>
      </c>
      <c r="U19" s="15" t="str">
        <f ca="1">T19&amp;IF(K19&lt;&gt;"",IF(T19&lt;&gt;"",", ","")&amp;K19&amp;" (Чудо света"&amp;IF(VLOOKUP(K19,Чудеса!A:H,8,0),", "&amp;VLOOKUP(K19,Чудеса!A:G,7,0),"")&amp;")","")</f>
        <v/>
      </c>
      <c r="V19" s="15">
        <f ca="1">OFFSET(База!$O$2,D19,0)</f>
        <v>1000</v>
      </c>
      <c r="W19" s="15" t="str">
        <f ca="1">"[br][b]"&amp;B19&amp;"[/b] (нас: "&amp;D19&amp;"; +"&amp;L19&amp;" "&amp;База!$L$2&amp;", +"&amp;M19&amp;" "&amp;База!$L$3&amp;", "&amp;TEXT(N19,"+#;-#;+0")&amp;" "&amp;База!$L$4&amp;")"&amp;IF(U19&lt;&gt;"",". Постройки: "&amp;U19&amp;".","")</f>
        <v>[br][b]Казань[/b] (нас: ; + Мл, + Мн,  ОН)</v>
      </c>
      <c r="X19" s="15" t="str">
        <f t="shared" ca="1" si="19"/>
        <v>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19" s="15" t="str">
        <f t="shared" si="5"/>
        <v>[br]Всего население (примерно, с учетом агломераций): 000  человек.</v>
      </c>
      <c r="Z19" s="15" t="str">
        <f t="shared" si="6"/>
        <v>[br]Всего население (примерно, с учетом агломераций): 000  человек.</v>
      </c>
      <c r="AA19" s="15" t="str">
        <f t="shared" ca="1" si="7"/>
        <v>[li][b]Мумбаи[/b] (нас: 1)[/li][br]Всего население (примерно, с учетом агломераций): 3 130 000  человек.</v>
      </c>
      <c r="AB19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19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19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19" s="15" t="str">
        <f t="shared" ca="1" si="11"/>
        <v>[br]Всего население (примерно, с учетом агломераций): 5 000  человек.</v>
      </c>
      <c r="AG19" s="15" t="str">
        <f t="shared" ca="1" si="20"/>
        <v>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19" s="15" t="str">
        <f t="shared" si="12"/>
        <v/>
      </c>
      <c r="AI19" s="15" t="str">
        <f t="shared" si="13"/>
        <v/>
      </c>
      <c r="AJ19" s="15" t="str">
        <f t="shared" ca="1" si="14"/>
        <v>[br][b]Мумбаи[/b] (нас: 1; +0 Мл, +0 Мн, +0 ОН)</v>
      </c>
      <c r="AK19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19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19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19" s="15" t="str">
        <f t="shared" si="18"/>
        <v/>
      </c>
      <c r="AP19" s="227">
        <f t="shared" si="21"/>
        <v>0</v>
      </c>
    </row>
    <row r="20" spans="1:42" x14ac:dyDescent="0.25">
      <c r="A20" s="15">
        <v>17</v>
      </c>
      <c r="B20" s="15" t="s">
        <v>450</v>
      </c>
      <c r="C20" s="15"/>
      <c r="D20" s="15"/>
      <c r="E20" s="15"/>
      <c r="F20" s="40"/>
      <c r="G20" s="40"/>
      <c r="H20" s="40"/>
      <c r="I20" s="40"/>
      <c r="J20" s="40"/>
      <c r="K20" s="15"/>
      <c r="L20" s="226" t="str">
        <f>IF($C20&lt;&gt;"",$E20*VLOOKUP(VLOOKUP(C20,Нации!B$3:E$10,4,0),База!B$30:H$38,7,0)+F20+VLOOKUP(VLOOKUP(C20,Нации!$B$3:$E$10,4,0),База!$B$30:$M$38,10,0),"")</f>
        <v/>
      </c>
      <c r="M20" s="226" t="str">
        <f>IF($C20&lt;&gt;"",$E20*VLOOKUP(VLOOKUP(C20,Нации!B$3:E$10,4,0),База!B$30:H$38,7,0)+G20+VLOOKUP(VLOOKUP(C20,Нации!$B$3:$E$10,4,0),База!$B$30:$M$38,11,0),"")</f>
        <v/>
      </c>
      <c r="N20" s="245" t="str">
        <f>IF($C20&lt;&gt;"",$E20*VLOOKUP(VLOOKUP(C20,Нации!B$3:E$10,4,0),База!B$30:H$38,7,0)+H20+VLOOKUP(VLOOKUP(C20,Нации!$B$3:$E$10,4,0),База!$B$30:$M$38,12,0)+IF(K20&lt;&gt;"",VLOOKUP(K20,Чудеса!A$2:J$99,10,0),0),"")</f>
        <v/>
      </c>
      <c r="O20" s="15" t="str">
        <f>IF(E20,База!$C$26,"")</f>
        <v/>
      </c>
      <c r="P20" s="15" t="str">
        <f ca="1">O20&amp;IF(F20,IF(O20&lt;&gt;"",", ","")&amp;OFFSET(INDIRECT("База!$B$"&amp;P$2),0,F20)&amp;" ("&amp;ROMAN(F20)&amp;IF(F20&lt;HLOOKUP($C20,Наука!$D$1:$J$69,P$1),"*","")&amp;")","")</f>
        <v/>
      </c>
      <c r="Q20" s="15" t="str">
        <f ca="1">P20&amp;IF(G20,IF(P20&lt;&gt;"",", ","")&amp;OFFSET(INDIRECT("База!$B$"&amp;Q$2),0,G20)&amp;" ("&amp;ROMAN(G20)&amp;IF(G20&lt;HLOOKUP($C20,Наука!$D$1:$J$69,Q$1),"*","")&amp;")","")</f>
        <v/>
      </c>
      <c r="R20" s="15" t="str">
        <f ca="1">Q20&amp;IF(H20,IF(Q20&lt;&gt;"",", ","")&amp;OFFSET(INDIRECT("База!$B$"&amp;R$2),0,H20)&amp;" ("&amp;ROMAN(H20)&amp;IF(H20&lt;HLOOKUP($C20,Наука!$D$1:$J$69,R$1),"*","")&amp;")","")</f>
        <v/>
      </c>
      <c r="S20" s="15" t="str">
        <f ca="1">R20&amp;IF(I20,IF(R20&lt;&gt;"",", ","")&amp;OFFSET(INDIRECT("База!$B$"&amp;S$2),0,I20)&amp;" ("&amp;ROMAN(I20)&amp;IF(I20&lt;HLOOKUP($C20,Наука!$D$1:$J$69,S$1),"*","")&amp;")","")</f>
        <v/>
      </c>
      <c r="T20" s="15" t="str">
        <f ca="1">S20&amp;IF(J20,IF(S20&lt;&gt;"",", ","")&amp;OFFSET(База!$B$25,0,J20)&amp;" (защита +3)","")</f>
        <v/>
      </c>
      <c r="U20" s="15" t="str">
        <f ca="1">T20&amp;IF(K20&lt;&gt;"",IF(T20&lt;&gt;"",", ","")&amp;K20&amp;" (Чудо света"&amp;IF(VLOOKUP(K20,Чудеса!A:H,8,0),", "&amp;VLOOKUP(K20,Чудеса!A:G,7,0),"")&amp;")","")</f>
        <v/>
      </c>
      <c r="V20" s="15">
        <f ca="1">OFFSET(База!$O$2,D20,0)</f>
        <v>1000</v>
      </c>
      <c r="W20" s="15" t="str">
        <f ca="1">"[br][b]"&amp;B20&amp;"[/b] (нас: "&amp;D20&amp;"; +"&amp;L20&amp;" "&amp;База!$L$2&amp;", +"&amp;M20&amp;" "&amp;База!$L$3&amp;", "&amp;TEXT(N20,"+#;-#;+0")&amp;" "&amp;База!$L$4&amp;")"&amp;IF(U20&lt;&gt;"",". Постройки: "&amp;U20&amp;".","")</f>
        <v>[br][b]Далянь[/b] (нас: ; + Мл, + Мн,  ОН)</v>
      </c>
      <c r="X20" s="15" t="str">
        <f t="shared" ca="1" si="19"/>
        <v>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20" s="15" t="str">
        <f t="shared" si="5"/>
        <v>[br]Всего население (примерно, с учетом агломераций): 000  человек.</v>
      </c>
      <c r="Z20" s="15" t="str">
        <f t="shared" si="6"/>
        <v>[br]Всего население (примерно, с учетом агломераций): 000  человек.</v>
      </c>
      <c r="AA20" s="15" t="str">
        <f t="shared" ca="1" si="7"/>
        <v>[li][b]Мумбаи[/b] (нас: 1)[/li][br]Всего население (примерно, с учетом агломераций): 3 130 000  человек.</v>
      </c>
      <c r="AB20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0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0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0" s="15" t="str">
        <f t="shared" ca="1" si="11"/>
        <v>[br]Всего население (примерно, с учетом агломераций): 5 000  человек.</v>
      </c>
      <c r="AG20" s="15" t="str">
        <f t="shared" ca="1" si="20"/>
        <v>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0" s="15" t="str">
        <f t="shared" si="12"/>
        <v/>
      </c>
      <c r="AI20" s="15" t="str">
        <f t="shared" si="13"/>
        <v/>
      </c>
      <c r="AJ20" s="15" t="str">
        <f t="shared" ca="1" si="14"/>
        <v>[br][b]Мумбаи[/b] (нас: 1; +0 Мл, +0 Мн, +0 ОН)</v>
      </c>
      <c r="AK20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0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0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0" s="15" t="str">
        <f t="shared" si="18"/>
        <v/>
      </c>
      <c r="AP20" s="227">
        <f t="shared" si="21"/>
        <v>0</v>
      </c>
    </row>
    <row r="21" spans="1:42" x14ac:dyDescent="0.25">
      <c r="A21" s="15">
        <v>18</v>
      </c>
      <c r="B21" s="15" t="s">
        <v>322</v>
      </c>
      <c r="C21" s="15" t="s">
        <v>2</v>
      </c>
      <c r="D21" s="15">
        <v>5</v>
      </c>
      <c r="E21" s="15"/>
      <c r="F21" s="40">
        <v>2</v>
      </c>
      <c r="G21" s="40"/>
      <c r="H21" s="40">
        <v>3</v>
      </c>
      <c r="I21" s="40"/>
      <c r="J21" s="40">
        <v>1</v>
      </c>
      <c r="K21" s="15"/>
      <c r="L21" s="226">
        <f>IF($C21&lt;&gt;"",$E21*VLOOKUP(VLOOKUP(C21,Нации!B$3:E$10,4,0),База!B$30:H$38,7,0)+F21+VLOOKUP(VLOOKUP(C21,Нации!$B$3:$E$10,4,0),База!$B$30:$M$38,10,0),"")</f>
        <v>2</v>
      </c>
      <c r="M21" s="226">
        <f>IF($C21&lt;&gt;"",$E21*VLOOKUP(VLOOKUP(C21,Нации!B$3:E$10,4,0),База!B$30:H$38,7,0)+G21+VLOOKUP(VLOOKUP(C21,Нации!$B$3:$E$10,4,0),База!$B$30:$M$38,11,0),"")</f>
        <v>0</v>
      </c>
      <c r="N21" s="245">
        <f>IF($C21&lt;&gt;"",$E21*VLOOKUP(VLOOKUP(C21,Нации!B$3:E$10,4,0),База!B$30:H$38,7,0)+H21+VLOOKUP(VLOOKUP(C21,Нации!$B$3:$E$10,4,0),База!$B$30:$M$38,12,0)+IF(K21&lt;&gt;"",VLOOKUP(K21,Чудеса!A$2:J$99,10,0),0),"")</f>
        <v>3</v>
      </c>
      <c r="O21" s="15" t="str">
        <f>IF(E21,База!$C$26,"")</f>
        <v/>
      </c>
      <c r="P21" s="15" t="str">
        <f ca="1">O21&amp;IF(F21,IF(O21&lt;&gt;"",", ","")&amp;OFFSET(INDIRECT("База!$B$"&amp;P$2),0,F21)&amp;" ("&amp;ROMAN(F21)&amp;IF(F21&lt;HLOOKUP($C21,Наука!$D$1:$J$69,P$1),"*","")&amp;")","")</f>
        <v>мастерская (II)</v>
      </c>
      <c r="Q21" s="15" t="str">
        <f ca="1">P21&amp;IF(G21,IF(P21&lt;&gt;"",", ","")&amp;OFFSET(INDIRECT("База!$B$"&amp;Q$2),0,G21)&amp;" ("&amp;ROMAN(G21)&amp;IF(G21&lt;HLOOKUP($C21,Наука!$D$1:$J$69,Q$1),"*","")&amp;")","")</f>
        <v>мастерская (II)</v>
      </c>
      <c r="R21" s="15" t="str">
        <f ca="1">Q21&amp;IF(H21,IF(Q21&lt;&gt;"",", ","")&amp;OFFSET(INDIRECT("База!$B$"&amp;R$2),0,H21)&amp;" ("&amp;ROMAN(H21)&amp;IF(H21&lt;HLOOKUP($C21,Наука!$D$1:$J$69,R$1),"*","")&amp;")","")</f>
        <v>мастерская (II), лаборатория (III)</v>
      </c>
      <c r="S21" s="15" t="str">
        <f ca="1">R21&amp;IF(I21,IF(R21&lt;&gt;"",", ","")&amp;OFFSET(INDIRECT("База!$B$"&amp;S$2),0,I21)&amp;" ("&amp;ROMAN(I21)&amp;IF(I21&lt;HLOOKUP($C21,Наука!$D$1:$J$69,S$1),"*","")&amp;")","")</f>
        <v>мастерская (II), лаборатория (III)</v>
      </c>
      <c r="T21" s="15" t="str">
        <f ca="1">S21&amp;IF(J21,IF(S21&lt;&gt;"",", ","")&amp;OFFSET(База!$B$25,0,J21)&amp;" (защита +3)","")</f>
        <v>мастерская (II), лаборатория (III), стены (защита +3)</v>
      </c>
      <c r="U21" s="15" t="str">
        <f ca="1">T21&amp;IF(K21&lt;&gt;"",IF(T21&lt;&gt;"",", ","")&amp;K21&amp;" (Чудо света"&amp;IF(VLOOKUP(K21,Чудеса!A:H,8,0),", "&amp;VLOOKUP(K21,Чудеса!A:G,7,0),"")&amp;")","")</f>
        <v>мастерская (II), лаборатория (III), стены (защита +3)</v>
      </c>
      <c r="V21" s="15">
        <f ca="1">OFFSET(База!$O$2,D21,0)</f>
        <v>3125000</v>
      </c>
      <c r="W21" s="15" t="str">
        <f ca="1">"[br][b]"&amp;B21&amp;"[/b] (нас: "&amp;D21&amp;"; +"&amp;L21&amp;" "&amp;База!$L$2&amp;", +"&amp;M21&amp;" "&amp;База!$L$3&amp;", "&amp;TEXT(N21,"+#;-#;+0")&amp;" "&amp;База!$L$4&amp;")"&amp;IF(U21&lt;&gt;"",". Постройки: "&amp;U21&amp;".","")</f>
        <v>[br][b]Воронеж[/b] (нас: 5; +2 Мл, +0 Мн, +3 ОН). Постройки: мастерская (II), лаборатория (III), стены (защита +3).</v>
      </c>
      <c r="X21" s="15" t="str">
        <f t="shared" ca="1" si="19"/>
        <v>[li][b]Воронеж[/b] (нас: 5)[/li][li][b]Секонд[/b]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21" s="15" t="str">
        <f t="shared" si="5"/>
        <v>[br]Всего население (примерно, с учетом агломераций): 000  человек.</v>
      </c>
      <c r="Z21" s="15" t="str">
        <f t="shared" si="6"/>
        <v>[br]Всего население (примерно, с учетом агломераций): 000  человек.</v>
      </c>
      <c r="AA21" s="15" t="str">
        <f t="shared" ca="1" si="7"/>
        <v>[li][b]Мумбаи[/b] (нас: 1)[/li][br]Всего население (примерно, с учетом агломераций): 3 130 000  человек.</v>
      </c>
      <c r="AB21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1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1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1" s="15" t="str">
        <f t="shared" ca="1" si="11"/>
        <v>[br]Всего население (примерно, с учетом агломераций): 5 000  человек.</v>
      </c>
      <c r="AG21" s="15" t="str">
        <f t="shared" ca="1" si="20"/>
        <v>[br][b]Воронеж[/b] (нас: 5; +2 Мл, +0 Мн, +3 ОН). Постройки: мастерская (II), лаборатория (III), стены (защита +3).[br][b]Секонд[/b]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1" s="15" t="str">
        <f t="shared" si="12"/>
        <v/>
      </c>
      <c r="AI21" s="15" t="str">
        <f t="shared" si="13"/>
        <v/>
      </c>
      <c r="AJ21" s="15" t="str">
        <f t="shared" ca="1" si="14"/>
        <v>[br][b]Мумбаи[/b] (нас: 1; +0 Мл, +0 Мн, +0 ОН)</v>
      </c>
      <c r="AK21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1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1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1" s="15" t="str">
        <f t="shared" si="18"/>
        <v/>
      </c>
      <c r="AP21" s="227" t="str">
        <f t="shared" si="21"/>
        <v>Русь</v>
      </c>
    </row>
    <row r="22" spans="1:42" x14ac:dyDescent="0.25">
      <c r="A22" s="15">
        <v>19</v>
      </c>
      <c r="B22" s="15" t="s">
        <v>336</v>
      </c>
      <c r="C22" s="15" t="s">
        <v>2</v>
      </c>
      <c r="D22" s="15">
        <v>5</v>
      </c>
      <c r="E22" s="15"/>
      <c r="F22" s="40"/>
      <c r="G22" s="40"/>
      <c r="H22" s="40">
        <v>3</v>
      </c>
      <c r="I22" s="40"/>
      <c r="J22" s="40">
        <v>1</v>
      </c>
      <c r="K22" s="15"/>
      <c r="L22" s="226">
        <f>IF($C22&lt;&gt;"",$E22*VLOOKUP(VLOOKUP(C22,Нации!B$3:E$10,4,0),База!B$30:H$38,7,0)+F22+VLOOKUP(VLOOKUP(C22,Нации!$B$3:$E$10,4,0),База!$B$30:$M$38,10,0),"")</f>
        <v>0</v>
      </c>
      <c r="M22" s="226">
        <f>IF($C22&lt;&gt;"",$E22*VLOOKUP(VLOOKUP(C22,Нации!B$3:E$10,4,0),База!B$30:H$38,7,0)+G22+VLOOKUP(VLOOKUP(C22,Нации!$B$3:$E$10,4,0),База!$B$30:$M$38,11,0),"")</f>
        <v>0</v>
      </c>
      <c r="N22" s="245">
        <f>IF($C22&lt;&gt;"",$E22*VLOOKUP(VLOOKUP(C22,Нации!B$3:E$10,4,0),База!B$30:H$38,7,0)+H22+VLOOKUP(VLOOKUP(C22,Нации!$B$3:$E$10,4,0),База!$B$30:$M$38,12,0)+IF(K22&lt;&gt;"",VLOOKUP(K22,Чудеса!A$2:J$99,10,0),0),"")</f>
        <v>3</v>
      </c>
      <c r="O22" s="15" t="str">
        <f>IF(E22,База!$C$26,"")</f>
        <v/>
      </c>
      <c r="P22" s="15" t="str">
        <f ca="1">O22&amp;IF(F22,IF(O22&lt;&gt;"",", ","")&amp;OFFSET(INDIRECT("База!$B$"&amp;P$2),0,F22)&amp;" ("&amp;ROMAN(F22)&amp;IF(F22&lt;HLOOKUP($C22,Наука!$D$1:$J$69,P$1),"*","")&amp;")","")</f>
        <v/>
      </c>
      <c r="Q22" s="15" t="str">
        <f ca="1">P22&amp;IF(G22,IF(P22&lt;&gt;"",", ","")&amp;OFFSET(INDIRECT("База!$B$"&amp;Q$2),0,G22)&amp;" ("&amp;ROMAN(G22)&amp;IF(G22&lt;HLOOKUP($C22,Наука!$D$1:$J$69,Q$1),"*","")&amp;")","")</f>
        <v/>
      </c>
      <c r="R22" s="15" t="str">
        <f ca="1">Q22&amp;IF(H22,IF(Q22&lt;&gt;"",", ","")&amp;OFFSET(INDIRECT("База!$B$"&amp;R$2),0,H22)&amp;" ("&amp;ROMAN(H22)&amp;IF(H22&lt;HLOOKUP($C22,Наука!$D$1:$J$69,R$1),"*","")&amp;")","")</f>
        <v>лаборатория (III)</v>
      </c>
      <c r="S22" s="15" t="str">
        <f ca="1">R22&amp;IF(I22,IF(R22&lt;&gt;"",", ","")&amp;OFFSET(INDIRECT("База!$B$"&amp;S$2),0,I22)&amp;" ("&amp;ROMAN(I22)&amp;IF(I22&lt;HLOOKUP($C22,Наука!$D$1:$J$69,S$1),"*","")&amp;")","")</f>
        <v>лаборатория (III)</v>
      </c>
      <c r="T22" s="15" t="str">
        <f ca="1">S22&amp;IF(J22,IF(S22&lt;&gt;"",", ","")&amp;OFFSET(База!$B$25,0,J22)&amp;" (защита +3)","")</f>
        <v>лаборатория (III), стены (защита +3)</v>
      </c>
      <c r="U22" s="15" t="str">
        <f ca="1">T22&amp;IF(K22&lt;&gt;"",IF(T22&lt;&gt;"",", ","")&amp;K22&amp;" (Чудо света"&amp;IF(VLOOKUP(K22,Чудеса!A:H,8,0),", "&amp;VLOOKUP(K22,Чудеса!A:G,7,0),"")&amp;")","")</f>
        <v>лаборатория (III), стены (защита +3)</v>
      </c>
      <c r="V22" s="15">
        <f ca="1">OFFSET(База!$O$2,D22,0)</f>
        <v>3125000</v>
      </c>
      <c r="W22" s="15" t="str">
        <f ca="1">"[br][b]"&amp;B22&amp;"[/b] (нас: "&amp;D22&amp;"; +"&amp;L22&amp;" "&amp;База!$L$2&amp;", +"&amp;M22&amp;" "&amp;База!$L$3&amp;", "&amp;TEXT(N22,"+#;-#;+0")&amp;" "&amp;База!$L$4&amp;")"&amp;IF(U22&lt;&gt;"",". Постройки: "&amp;U22&amp;".","")</f>
        <v>[br][b]Секонд[/b] (нас: 5; +0 Мл, +0 Мн, +3 ОН). Постройки: лаборатория (III), стены (защита +3).</v>
      </c>
      <c r="X22" s="15" t="str">
        <f t="shared" ca="1" si="19"/>
        <v>[li][b]Секонд[/b] (нас: 5)[/li][li][b]Калининград[/b]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22" s="15" t="str">
        <f t="shared" si="5"/>
        <v>[br]Всего население (примерно, с учетом агломераций): 000  человек.</v>
      </c>
      <c r="Z22" s="15" t="str">
        <f t="shared" si="6"/>
        <v>[br]Всего население (примерно, с учетом агломераций): 000  человек.</v>
      </c>
      <c r="AA22" s="15" t="str">
        <f t="shared" ca="1" si="7"/>
        <v>[li][b]Мумбаи[/b] (нас: 1)[/li][br]Всего население (примерно, с учетом агломераций): 3 130 000  человек.</v>
      </c>
      <c r="AB22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2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2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2" s="15" t="str">
        <f t="shared" ca="1" si="11"/>
        <v>[br]Всего население (примерно, с учетом агломераций): 5 000  человек.</v>
      </c>
      <c r="AG22" s="15" t="str">
        <f t="shared" ca="1" si="20"/>
        <v>[br][b]Секонд[/b] (нас: 5; +0 Мл, +0 Мн, +3 ОН). Постройки: лаборатория (III), стены (защита +3).[br][b]Калининград[/b]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2" s="15" t="str">
        <f t="shared" si="12"/>
        <v/>
      </c>
      <c r="AI22" s="15" t="str">
        <f t="shared" si="13"/>
        <v/>
      </c>
      <c r="AJ22" s="15" t="str">
        <f t="shared" ca="1" si="14"/>
        <v>[br][b]Мумбаи[/b] (нас: 1; +0 Мл, +0 Мн, +0 ОН)</v>
      </c>
      <c r="AK22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2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2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2" s="15" t="str">
        <f t="shared" si="18"/>
        <v/>
      </c>
      <c r="AP22" s="227" t="str">
        <f t="shared" si="21"/>
        <v>Русь</v>
      </c>
    </row>
    <row r="23" spans="1:42" x14ac:dyDescent="0.25">
      <c r="A23" s="15">
        <v>20</v>
      </c>
      <c r="B23" s="15" t="s">
        <v>313</v>
      </c>
      <c r="C23" s="15" t="s">
        <v>7</v>
      </c>
      <c r="D23" s="15">
        <v>5</v>
      </c>
      <c r="E23" s="15"/>
      <c r="F23" s="40"/>
      <c r="G23" s="40"/>
      <c r="H23" s="40">
        <v>1</v>
      </c>
      <c r="I23" s="40">
        <v>1</v>
      </c>
      <c r="J23" s="40">
        <v>1</v>
      </c>
      <c r="K23" s="15"/>
      <c r="L23" s="226">
        <f>IF($C23&lt;&gt;"",$E23*VLOOKUP(VLOOKUP(C23,Нации!B$3:E$10,4,0),База!B$30:H$38,7,0)+F23+VLOOKUP(VLOOKUP(C23,Нации!$B$3:$E$10,4,0),База!$B$30:$M$38,10,0),"")</f>
        <v>0</v>
      </c>
      <c r="M23" s="226">
        <f>IF($C23&lt;&gt;"",$E23*VLOOKUP(VLOOKUP(C23,Нации!B$3:E$10,4,0),База!B$30:H$38,7,0)+G23+VLOOKUP(VLOOKUP(C23,Нации!$B$3:$E$10,4,0),База!$B$30:$M$38,11,0),"")</f>
        <v>0</v>
      </c>
      <c r="N23" s="245">
        <f>IF($C23&lt;&gt;"",$E23*VLOOKUP(VLOOKUP(C23,Нации!B$3:E$10,4,0),База!B$30:H$38,7,0)+H23+VLOOKUP(VLOOKUP(C23,Нации!$B$3:$E$10,4,0),База!$B$30:$M$38,12,0)+IF(K23&lt;&gt;"",VLOOKUP(K23,Чудеса!A$2:J$99,10,0),0),"")</f>
        <v>1</v>
      </c>
      <c r="O23" s="15" t="str">
        <f>IF(E23,База!$C$26,"")</f>
        <v/>
      </c>
      <c r="P23" s="15" t="str">
        <f ca="1">O23&amp;IF(F23,IF(O23&lt;&gt;"",", ","")&amp;OFFSET(INDIRECT("База!$B$"&amp;P$2),0,F23)&amp;" ("&amp;ROMAN(F23)&amp;IF(F23&lt;HLOOKUP($C23,Наука!$D$1:$J$69,P$1),"*","")&amp;")","")</f>
        <v/>
      </c>
      <c r="Q23" s="15" t="str">
        <f ca="1">P23&amp;IF(G23,IF(P23&lt;&gt;"",", ","")&amp;OFFSET(INDIRECT("База!$B$"&amp;Q$2),0,G23)&amp;" ("&amp;ROMAN(G23)&amp;IF(G23&lt;HLOOKUP($C23,Наука!$D$1:$J$69,Q$1),"*","")&amp;")","")</f>
        <v/>
      </c>
      <c r="R23" s="15" t="str">
        <f ca="1">Q23&amp;IF(H23,IF(Q23&lt;&gt;"",", ","")&amp;OFFSET(INDIRECT("База!$B$"&amp;R$2),0,H23)&amp;" ("&amp;ROMAN(H23)&amp;IF(H23&lt;HLOOKUP($C23,Наука!$D$1:$J$69,R$1),"*","")&amp;")","")</f>
        <v>библиотека (I*)</v>
      </c>
      <c r="S23" s="15" t="str">
        <f ca="1">R23&amp;IF(I23,IF(R23&lt;&gt;"",", ","")&amp;OFFSET(INDIRECT("База!$B$"&amp;S$2),0,I23)&amp;" ("&amp;ROMAN(I23)&amp;IF(I23&lt;HLOOKUP($C23,Наука!$D$1:$J$69,S$1),"*","")&amp;")","")</f>
        <v>библиотека (I*), казармы (I*)</v>
      </c>
      <c r="T23" s="15" t="str">
        <f ca="1">S23&amp;IF(J23,IF(S23&lt;&gt;"",", ","")&amp;OFFSET(База!$B$25,0,J23)&amp;" (защита +3)","")</f>
        <v>библиотека (I*), казармы (I*), стены (защита +3)</v>
      </c>
      <c r="U23" s="15" t="str">
        <f ca="1">T23&amp;IF(K23&lt;&gt;"",IF(T23&lt;&gt;"",", ","")&amp;K23&amp;" (Чудо света"&amp;IF(VLOOKUP(K23,Чудеса!A:H,8,0),", "&amp;VLOOKUP(K23,Чудеса!A:G,7,0),"")&amp;")","")</f>
        <v>библиотека (I*), казармы (I*), стены (защита +3)</v>
      </c>
      <c r="V23" s="15">
        <f ca="1">OFFSET(База!$O$2,D23,0)</f>
        <v>3125000</v>
      </c>
      <c r="W23" s="15" t="str">
        <f ca="1">"[br][b]"&amp;B23&amp;"[/b] (нас: "&amp;D23&amp;"; +"&amp;L23&amp;" "&amp;База!$L$2&amp;", +"&amp;M23&amp;" "&amp;База!$L$3&amp;", "&amp;TEXT(N23,"+#;-#;+0")&amp;" "&amp;База!$L$4&amp;")"&amp;IF(U23&lt;&gt;"",". Постройки: "&amp;U23&amp;".","")</f>
        <v>[br][b]Медая[/b] (нас: 5; +0 Мл, +0 Мн, +1 ОН). Постройки: библиотека (I*), казармы (I*), стены (защита +3).</v>
      </c>
      <c r="X23" s="15" t="str">
        <f t="shared" ca="1" si="19"/>
        <v>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23" s="15" t="str">
        <f t="shared" si="5"/>
        <v>[br]Всего население (примерно, с учетом агломераций): 000  человек.</v>
      </c>
      <c r="Z23" s="15" t="str">
        <f t="shared" si="6"/>
        <v>[br]Всего население (примерно, с учетом агломераций): 000  человек.</v>
      </c>
      <c r="AA23" s="15" t="str">
        <f t="shared" ca="1" si="7"/>
        <v>[li][b]Мумбаи[/b] (нас: 1)[/li][br]Всего население (примерно, с учетом агломераций): 3 130 000  человек.</v>
      </c>
      <c r="AB23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3" s="15" t="str">
        <f t="shared" ca="1" si="9"/>
        <v>[li][b]Медая[/b] (нас: 5)[/li][li][b]Ахетатон[/b]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3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3" s="15" t="str">
        <f t="shared" ca="1" si="11"/>
        <v>[br]Всего население (примерно, с учетом агломераций): 5 000  человек.</v>
      </c>
      <c r="AG23" s="15" t="str">
        <f t="shared" ca="1" si="20"/>
        <v>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3" s="15" t="str">
        <f t="shared" si="12"/>
        <v/>
      </c>
      <c r="AI23" s="15" t="str">
        <f t="shared" si="13"/>
        <v/>
      </c>
      <c r="AJ23" s="15" t="str">
        <f t="shared" ca="1" si="14"/>
        <v>[br][b]Мумбаи[/b] (нас: 1; +0 Мл, +0 Мн, +0 ОН)</v>
      </c>
      <c r="AK23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3" s="15" t="str">
        <f t="shared" ca="1" si="16"/>
        <v>[br][b]Медая[/b] (нас: 5; +0 Мл, +0 Мн, +1 ОН). Постройки: библиотека (I*), казармы (I*), стены (защита +3).[br][b]Ахетатон[/b]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3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3" s="15" t="str">
        <f t="shared" si="18"/>
        <v/>
      </c>
      <c r="AP23" s="227" t="str">
        <f t="shared" si="21"/>
        <v>Индонезия</v>
      </c>
    </row>
    <row r="24" spans="1:42" x14ac:dyDescent="0.25">
      <c r="A24" s="15">
        <v>21</v>
      </c>
      <c r="B24" s="15" t="s">
        <v>337</v>
      </c>
      <c r="C24" s="15" t="s">
        <v>2</v>
      </c>
      <c r="D24" s="15">
        <v>5</v>
      </c>
      <c r="E24" s="15"/>
      <c r="F24" s="40">
        <v>2</v>
      </c>
      <c r="G24" s="40"/>
      <c r="H24" s="40">
        <v>3</v>
      </c>
      <c r="I24" s="40"/>
      <c r="J24" s="40">
        <v>1</v>
      </c>
      <c r="K24" s="15"/>
      <c r="L24" s="226">
        <f>IF($C24&lt;&gt;"",$E24*VLOOKUP(VLOOKUP(C24,Нации!B$3:E$10,4,0),База!B$30:H$38,7,0)+F24+VLOOKUP(VLOOKUP(C24,Нации!$B$3:$E$10,4,0),База!$B$30:$M$38,10,0),"")</f>
        <v>2</v>
      </c>
      <c r="M24" s="226">
        <f>IF($C24&lt;&gt;"",$E24*VLOOKUP(VLOOKUP(C24,Нации!B$3:E$10,4,0),База!B$30:H$38,7,0)+G24+VLOOKUP(VLOOKUP(C24,Нации!$B$3:$E$10,4,0),База!$B$30:$M$38,11,0),"")</f>
        <v>0</v>
      </c>
      <c r="N24" s="245">
        <f>IF($C24&lt;&gt;"",$E24*VLOOKUP(VLOOKUP(C24,Нации!B$3:E$10,4,0),База!B$30:H$38,7,0)+H24+VLOOKUP(VLOOKUP(C24,Нации!$B$3:$E$10,4,0),База!$B$30:$M$38,12,0)+IF(K24&lt;&gt;"",VLOOKUP(K24,Чудеса!A$2:J$99,10,0),0),"")</f>
        <v>3</v>
      </c>
      <c r="O24" s="15" t="str">
        <f>IF(E24,База!$C$26,"")</f>
        <v/>
      </c>
      <c r="P24" s="15" t="str">
        <f ca="1">O24&amp;IF(F24,IF(O24&lt;&gt;"",", ","")&amp;OFFSET(INDIRECT("База!$B$"&amp;P$2),0,F24)&amp;" ("&amp;ROMAN(F24)&amp;IF(F24&lt;HLOOKUP($C24,Наука!$D$1:$J$69,P$1),"*","")&amp;")","")</f>
        <v>мастерская (II)</v>
      </c>
      <c r="Q24" s="15" t="str">
        <f ca="1">P24&amp;IF(G24,IF(P24&lt;&gt;"",", ","")&amp;OFFSET(INDIRECT("База!$B$"&amp;Q$2),0,G24)&amp;" ("&amp;ROMAN(G24)&amp;IF(G24&lt;HLOOKUP($C24,Наука!$D$1:$J$69,Q$1),"*","")&amp;")","")</f>
        <v>мастерская (II)</v>
      </c>
      <c r="R24" s="15" t="str">
        <f ca="1">Q24&amp;IF(H24,IF(Q24&lt;&gt;"",", ","")&amp;OFFSET(INDIRECT("База!$B$"&amp;R$2),0,H24)&amp;" ("&amp;ROMAN(H24)&amp;IF(H24&lt;HLOOKUP($C24,Наука!$D$1:$J$69,R$1),"*","")&amp;")","")</f>
        <v>мастерская (II), лаборатория (III)</v>
      </c>
      <c r="S24" s="15" t="str">
        <f ca="1">R24&amp;IF(I24,IF(R24&lt;&gt;"",", ","")&amp;OFFSET(INDIRECT("База!$B$"&amp;S$2),0,I24)&amp;" ("&amp;ROMAN(I24)&amp;IF(I24&lt;HLOOKUP($C24,Наука!$D$1:$J$69,S$1),"*","")&amp;")","")</f>
        <v>мастерская (II), лаборатория (III)</v>
      </c>
      <c r="T24" s="15" t="str">
        <f ca="1">S24&amp;IF(J24,IF(S24&lt;&gt;"",", ","")&amp;OFFSET(База!$B$25,0,J24)&amp;" (защита +3)","")</f>
        <v>мастерская (II), лаборатория (III), стены (защита +3)</v>
      </c>
      <c r="U24" s="15" t="str">
        <f ca="1">T24&amp;IF(K24&lt;&gt;"",IF(T24&lt;&gt;"",", ","")&amp;K24&amp;" (Чудо света"&amp;IF(VLOOKUP(K24,Чудеса!A:H,8,0),", "&amp;VLOOKUP(K24,Чудеса!A:G,7,0),"")&amp;")","")</f>
        <v>мастерская (II), лаборатория (III), стены (защита +3)</v>
      </c>
      <c r="V24" s="15">
        <f ca="1">OFFSET(База!$O$2,D24,0)</f>
        <v>3125000</v>
      </c>
      <c r="W24" s="15" t="str">
        <f ca="1">"[br][b]"&amp;B24&amp;"[/b] (нас: "&amp;D24&amp;"; +"&amp;L24&amp;" "&amp;База!$L$2&amp;", +"&amp;M24&amp;" "&amp;База!$L$3&amp;", "&amp;TEXT(N24,"+#;-#;+0")&amp;" "&amp;База!$L$4&amp;")"&amp;IF(U24&lt;&gt;"",". Постройки: "&amp;U24&amp;".","")</f>
        <v>[br][b]Калининград[/b] (нас: 5; +2 Мл, +0 Мн, +3 ОН). Постройки: мастерская (II), лаборатория (III), стены (защита +3).</v>
      </c>
      <c r="X24" s="15" t="str">
        <f t="shared" ca="1" si="19"/>
        <v>[li][b]Калининград[/b] (нас: 5)[/li][li][b]Геленжик[/b] (нас: 5)[/li][li][b]Биау[/b] (нас: 3)[/li][li][b]Лондон[/b] (нас: 3)[/li][br]Всего население (примерно, с учетом агломераций): 25 250 000  человек.</v>
      </c>
      <c r="Y24" s="15" t="str">
        <f t="shared" si="5"/>
        <v>[br]Всего население (примерно, с учетом агломераций): 000  человек.</v>
      </c>
      <c r="Z24" s="15" t="str">
        <f t="shared" si="6"/>
        <v>[br]Всего население (примерно, с учетом агломераций): 000  человек.</v>
      </c>
      <c r="AA24" s="15" t="str">
        <f t="shared" ca="1" si="7"/>
        <v>[li][b]Мумбаи[/b] (нас: 1)[/li][br]Всего население (примерно, с учетом агломераций): 3 130 000  человек.</v>
      </c>
      <c r="AB24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4" s="15" t="str">
        <f t="shared" ca="1" si="9"/>
        <v>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4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4" s="15" t="str">
        <f t="shared" ca="1" si="11"/>
        <v>[br]Всего население (примерно, с учетом агломераций): 5 000  человек.</v>
      </c>
      <c r="AG24" s="15" t="str">
        <f t="shared" ca="1" si="20"/>
        <v>[br][b]Калининград[/b] (нас: 5; +2 Мл, +0 Мн, +3 ОН). Постройки: мастерская (II), лаборатория (III), стены (защита +3).[br][b]Геленжик[/b]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4" s="15" t="str">
        <f t="shared" si="12"/>
        <v/>
      </c>
      <c r="AI24" s="15" t="str">
        <f t="shared" si="13"/>
        <v/>
      </c>
      <c r="AJ24" s="15" t="str">
        <f t="shared" ca="1" si="14"/>
        <v>[br][b]Мумбаи[/b] (нас: 1; +0 Мл, +0 Мн, +0 ОН)</v>
      </c>
      <c r="AK24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4" s="15" t="str">
        <f t="shared" ca="1" si="16"/>
        <v>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4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4" s="15" t="str">
        <f t="shared" si="18"/>
        <v/>
      </c>
      <c r="AP24" s="227" t="str">
        <f t="shared" si="21"/>
        <v>Русь</v>
      </c>
    </row>
    <row r="25" spans="1:42" x14ac:dyDescent="0.25">
      <c r="A25" s="15">
        <v>22</v>
      </c>
      <c r="B25" s="15" t="s">
        <v>338</v>
      </c>
      <c r="C25" s="15" t="s">
        <v>7</v>
      </c>
      <c r="D25" s="15">
        <v>3</v>
      </c>
      <c r="E25" s="15"/>
      <c r="F25" s="40"/>
      <c r="G25" s="40"/>
      <c r="H25" s="40"/>
      <c r="I25" s="40">
        <v>2</v>
      </c>
      <c r="J25" s="40">
        <v>1</v>
      </c>
      <c r="K25" s="15"/>
      <c r="L25" s="226">
        <f>IF($C25&lt;&gt;"",$E25*VLOOKUP(VLOOKUP(C25,Нации!B$3:E$10,4,0),База!B$30:H$38,7,0)+F25+VLOOKUP(VLOOKUP(C25,Нации!$B$3:$E$10,4,0),База!$B$30:$M$38,10,0),"")</f>
        <v>0</v>
      </c>
      <c r="M25" s="226">
        <f>IF($C25&lt;&gt;"",$E25*VLOOKUP(VLOOKUP(C25,Нации!B$3:E$10,4,0),База!B$30:H$38,7,0)+G25+VLOOKUP(VLOOKUP(C25,Нации!$B$3:$E$10,4,0),База!$B$30:$M$38,11,0),"")</f>
        <v>0</v>
      </c>
      <c r="N25" s="245">
        <f>IF($C25&lt;&gt;"",$E25*VLOOKUP(VLOOKUP(C25,Нации!B$3:E$10,4,0),База!B$30:H$38,7,0)+H25+VLOOKUP(VLOOKUP(C25,Нации!$B$3:$E$10,4,0),База!$B$30:$M$38,12,0)+IF(K25&lt;&gt;"",VLOOKUP(K25,Чудеса!A$2:J$99,10,0),0),"")</f>
        <v>0</v>
      </c>
      <c r="O25" s="15" t="str">
        <f>IF(E25,База!$C$26,"")</f>
        <v/>
      </c>
      <c r="P25" s="15" t="str">
        <f ca="1">O25&amp;IF(F25,IF(O25&lt;&gt;"",", ","")&amp;OFFSET(INDIRECT("База!$B$"&amp;P$2),0,F25)&amp;" ("&amp;ROMAN(F25)&amp;IF(F25&lt;HLOOKUP($C25,Наука!$D$1:$J$69,P$1),"*","")&amp;")","")</f>
        <v/>
      </c>
      <c r="Q25" s="15" t="str">
        <f ca="1">P25&amp;IF(G25,IF(P25&lt;&gt;"",", ","")&amp;OFFSET(INDIRECT("База!$B$"&amp;Q$2),0,G25)&amp;" ("&amp;ROMAN(G25)&amp;IF(G25&lt;HLOOKUP($C25,Наука!$D$1:$J$69,Q$1),"*","")&amp;")","")</f>
        <v/>
      </c>
      <c r="R25" s="15" t="str">
        <f ca="1">Q25&amp;IF(H25,IF(Q25&lt;&gt;"",", ","")&amp;OFFSET(INDIRECT("База!$B$"&amp;R$2),0,H25)&amp;" ("&amp;ROMAN(H25)&amp;IF(H25&lt;HLOOKUP($C25,Наука!$D$1:$J$69,R$1),"*","")&amp;")","")</f>
        <v/>
      </c>
      <c r="S25" s="15" t="str">
        <f ca="1">R25&amp;IF(I25,IF(R25&lt;&gt;"",", ","")&amp;OFFSET(INDIRECT("База!$B$"&amp;S$2),0,I25)&amp;" ("&amp;ROMAN(I25)&amp;IF(I25&lt;HLOOKUP($C25,Наука!$D$1:$J$69,S$1),"*","")&amp;")","")</f>
        <v>арсенал (II)</v>
      </c>
      <c r="T25" s="15" t="str">
        <f ca="1">S25&amp;IF(J25,IF(S25&lt;&gt;"",", ","")&amp;OFFSET(База!$B$25,0,J25)&amp;" (защита +3)","")</f>
        <v>арсенал (II), стены (защита +3)</v>
      </c>
      <c r="U25" s="15" t="str">
        <f ca="1">T25&amp;IF(K25&lt;&gt;"",IF(T25&lt;&gt;"",", ","")&amp;K25&amp;" (Чудо света"&amp;IF(VLOOKUP(K25,Чудеса!A:H,8,0),", "&amp;VLOOKUP(K25,Чудеса!A:G,7,0),"")&amp;")","")</f>
        <v>арсенал (II), стены (защита +3)</v>
      </c>
      <c r="V25" s="15">
        <f ca="1">OFFSET(База!$O$2,D25,0)</f>
        <v>125000</v>
      </c>
      <c r="W25" s="15" t="str">
        <f ca="1">"[br][b]"&amp;B25&amp;"[/b] (нас: "&amp;D25&amp;"; +"&amp;L25&amp;" "&amp;База!$L$2&amp;", +"&amp;M25&amp;" "&amp;База!$L$3&amp;", "&amp;TEXT(N25,"+#;-#;+0")&amp;" "&amp;База!$L$4&amp;")"&amp;IF(U25&lt;&gt;"",". Постройки: "&amp;U25&amp;".","")</f>
        <v>[br][b]Ахетатон[/b] (нас: 3; +0 Мл, +0 Мн, +0 ОН). Постройки: арсенал (II), стены (защита +3).</v>
      </c>
      <c r="X25" s="15" t="str">
        <f t="shared" ca="1" si="19"/>
        <v>[li][b]Геленжик[/b] (нас: 5)[/li][li][b]Биау[/b] (нас: 3)[/li][li][b]Лондон[/b] (нас: 3)[/li][br]Всего население (примерно, с учетом агломераций): 25 250 000  человек.</v>
      </c>
      <c r="Y25" s="15" t="str">
        <f t="shared" si="5"/>
        <v>[br]Всего население (примерно, с учетом агломераций): 000  человек.</v>
      </c>
      <c r="Z25" s="15" t="str">
        <f t="shared" si="6"/>
        <v>[br]Всего население (примерно, с учетом агломераций): 000  человек.</v>
      </c>
      <c r="AA25" s="15" t="str">
        <f t="shared" ca="1" si="7"/>
        <v>[li][b]Мумбаи[/b] (нас: 1)[/li][br]Всего население (примерно, с учетом агломераций): 3 130 000  человек.</v>
      </c>
      <c r="AB25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5" s="15" t="str">
        <f t="shared" ca="1" si="9"/>
        <v>[li][b]Ахетатон[/b] (нас: 3)[/li][li][b]Маккасар[/b]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5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5" s="15" t="str">
        <f t="shared" ca="1" si="11"/>
        <v>[br]Всего население (примерно, с учетом агломераций): 5 000  человек.</v>
      </c>
      <c r="AG25" s="15" t="str">
        <f t="shared" ca="1" si="20"/>
        <v>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5" s="15" t="str">
        <f t="shared" si="12"/>
        <v/>
      </c>
      <c r="AI25" s="15" t="str">
        <f t="shared" si="13"/>
        <v/>
      </c>
      <c r="AJ25" s="15" t="str">
        <f t="shared" ca="1" si="14"/>
        <v>[br][b]Мумбаи[/b] (нас: 1; +0 Мл, +0 Мн, +0 ОН)</v>
      </c>
      <c r="AK25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5" s="15" t="str">
        <f t="shared" ca="1" si="16"/>
        <v>[br][b]Ахетатон[/b] (нас: 3; +0 Мл, +0 Мн, +0 ОН). Постройки: арсенал (II), стены (защита +3).[br][b]Маккасар[/b]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5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5" s="15" t="str">
        <f t="shared" si="18"/>
        <v/>
      </c>
      <c r="AP25" s="227" t="str">
        <f t="shared" si="21"/>
        <v>Индонезия</v>
      </c>
    </row>
    <row r="26" spans="1:42" x14ac:dyDescent="0.25">
      <c r="A26" s="15">
        <v>23</v>
      </c>
      <c r="B26" s="15" t="s">
        <v>339</v>
      </c>
      <c r="C26" s="15"/>
      <c r="D26" s="15"/>
      <c r="E26" s="15"/>
      <c r="F26" s="40"/>
      <c r="G26" s="40"/>
      <c r="H26" s="40"/>
      <c r="I26" s="40"/>
      <c r="J26" s="40"/>
      <c r="K26" s="15"/>
      <c r="L26" s="226" t="str">
        <f>IF($C26&lt;&gt;"",$E26*VLOOKUP(VLOOKUP(C26,Нации!B$3:E$10,4,0),База!B$30:H$38,7,0)+F26+VLOOKUP(VLOOKUP(C26,Нации!$B$3:$E$10,4,0),База!$B$30:$M$38,10,0),"")</f>
        <v/>
      </c>
      <c r="M26" s="226" t="str">
        <f>IF($C26&lt;&gt;"",$E26*VLOOKUP(VLOOKUP(C26,Нации!B$3:E$10,4,0),База!B$30:H$38,7,0)+G26+VLOOKUP(VLOOKUP(C26,Нации!$B$3:$E$10,4,0),База!$B$30:$M$38,11,0),"")</f>
        <v/>
      </c>
      <c r="N26" s="245" t="str">
        <f>IF($C26&lt;&gt;"",$E26*VLOOKUP(VLOOKUP(C26,Нации!B$3:E$10,4,0),База!B$30:H$38,7,0)+H26+VLOOKUP(VLOOKUP(C26,Нации!$B$3:$E$10,4,0),База!$B$30:$M$38,12,0)+IF(K26&lt;&gt;"",VLOOKUP(K26,Чудеса!A$2:J$99,10,0),0),"")</f>
        <v/>
      </c>
      <c r="O26" s="15" t="str">
        <f>IF(E26,База!$C$26,"")</f>
        <v/>
      </c>
      <c r="P26" s="15" t="str">
        <f ca="1">O26&amp;IF(F26,IF(O26&lt;&gt;"",", ","")&amp;OFFSET(INDIRECT("База!$B$"&amp;P$2),0,F26)&amp;" ("&amp;ROMAN(F26)&amp;IF(F26&lt;HLOOKUP($C26,Наука!$D$1:$J$69,P$1),"*","")&amp;")","")</f>
        <v/>
      </c>
      <c r="Q26" s="15" t="str">
        <f ca="1">P26&amp;IF(G26,IF(P26&lt;&gt;"",", ","")&amp;OFFSET(INDIRECT("База!$B$"&amp;Q$2),0,G26)&amp;" ("&amp;ROMAN(G26)&amp;IF(G26&lt;HLOOKUP($C26,Наука!$D$1:$J$69,Q$1),"*","")&amp;")","")</f>
        <v/>
      </c>
      <c r="R26" s="15" t="str">
        <f ca="1">Q26&amp;IF(H26,IF(Q26&lt;&gt;"",", ","")&amp;OFFSET(INDIRECT("База!$B$"&amp;R$2),0,H26)&amp;" ("&amp;ROMAN(H26)&amp;IF(H26&lt;HLOOKUP($C26,Наука!$D$1:$J$69,R$1),"*","")&amp;")","")</f>
        <v/>
      </c>
      <c r="S26" s="15" t="str">
        <f ca="1">R26&amp;IF(I26,IF(R26&lt;&gt;"",", ","")&amp;OFFSET(INDIRECT("База!$B$"&amp;S$2),0,I26)&amp;" ("&amp;ROMAN(I26)&amp;IF(I26&lt;HLOOKUP($C26,Наука!$D$1:$J$69,S$1),"*","")&amp;")","")</f>
        <v/>
      </c>
      <c r="T26" s="15" t="str">
        <f ca="1">S26&amp;IF(J26,IF(S26&lt;&gt;"",", ","")&amp;OFFSET(База!$B$25,0,J26)&amp;" (защита +3)","")</f>
        <v/>
      </c>
      <c r="U26" s="15" t="str">
        <f ca="1">T26&amp;IF(K26&lt;&gt;"",IF(T26&lt;&gt;"",", ","")&amp;K26&amp;" (Чудо света"&amp;IF(VLOOKUP(K26,Чудеса!A:H,8,0),", "&amp;VLOOKUP(K26,Чудеса!A:G,7,0),"")&amp;")","")</f>
        <v/>
      </c>
      <c r="V26" s="15">
        <f ca="1">OFFSET(База!$O$2,D26,0)</f>
        <v>1000</v>
      </c>
      <c r="W26" s="15" t="str">
        <f ca="1">"[br][b]"&amp;B26&amp;"[/b] (нас: "&amp;D26&amp;"; +"&amp;L26&amp;" "&amp;База!$L$2&amp;", +"&amp;M26&amp;" "&amp;База!$L$3&amp;", "&amp;TEXT(N26,"+#;-#;+0")&amp;" "&amp;База!$L$4&amp;")"&amp;IF(U26&lt;&gt;"",". Постройки: "&amp;U26&amp;".","")</f>
        <v>[br][b]Гоа[/b] (нас: ; + Мл, + Мн,  ОН)</v>
      </c>
      <c r="X26" s="15" t="str">
        <f t="shared" ca="1" si="19"/>
        <v>[li][b]Геленжик[/b] (нас: 5)[/li][li][b]Биау[/b] (нас: 3)[/li][li][b]Лондон[/b] (нас: 3)[/li][br]Всего население (примерно, с учетом агломераций): 25 250 000  человек.</v>
      </c>
      <c r="Y26" s="15" t="str">
        <f t="shared" si="5"/>
        <v>[br]Всего население (примерно, с учетом агломераций): 000  человек.</v>
      </c>
      <c r="Z26" s="15" t="str">
        <f t="shared" si="6"/>
        <v>[br]Всего население (примерно, с учетом агломераций): 000  человек.</v>
      </c>
      <c r="AA26" s="15" t="str">
        <f t="shared" ca="1" si="7"/>
        <v>[li][b]Мумбаи[/b] (нас: 1)[/li][br]Всего население (примерно, с учетом агломераций): 3 130 000  человек.</v>
      </c>
      <c r="AB26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6" s="15" t="str">
        <f t="shared" ca="1" si="9"/>
        <v>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6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6" s="15" t="str">
        <f t="shared" ca="1" si="11"/>
        <v>[br]Всего население (примерно, с учетом агломераций): 5 000  человек.</v>
      </c>
      <c r="AG26" s="15" t="str">
        <f t="shared" ca="1" si="20"/>
        <v>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6" s="15" t="str">
        <f t="shared" si="12"/>
        <v/>
      </c>
      <c r="AI26" s="15" t="str">
        <f t="shared" si="13"/>
        <v/>
      </c>
      <c r="AJ26" s="15" t="str">
        <f t="shared" ca="1" si="14"/>
        <v>[br][b]Мумбаи[/b] (нас: 1; +0 Мл, +0 Мн, +0 ОН)</v>
      </c>
      <c r="AK26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6" s="15" t="str">
        <f t="shared" ca="1" si="16"/>
        <v>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6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6" s="15" t="str">
        <f t="shared" si="18"/>
        <v/>
      </c>
      <c r="AP26" s="227">
        <f t="shared" si="21"/>
        <v>0</v>
      </c>
    </row>
    <row r="27" spans="1:42" x14ac:dyDescent="0.25">
      <c r="A27" s="15">
        <v>24</v>
      </c>
      <c r="B27" s="15" t="s">
        <v>340</v>
      </c>
      <c r="C27" s="15" t="s">
        <v>6</v>
      </c>
      <c r="D27" s="15">
        <v>6</v>
      </c>
      <c r="E27" s="15"/>
      <c r="F27" s="40">
        <v>2</v>
      </c>
      <c r="G27" s="40"/>
      <c r="H27" s="40">
        <v>3</v>
      </c>
      <c r="I27" s="40">
        <v>1</v>
      </c>
      <c r="J27" s="40"/>
      <c r="K27" s="15"/>
      <c r="L27" s="226">
        <f>IF($C27&lt;&gt;"",$E27*VLOOKUP(VLOOKUP(C27,Нации!B$3:E$10,4,0),База!B$30:H$38,7,0)+F27+VLOOKUP(VLOOKUP(C27,Нации!$B$3:$E$10,4,0),База!$B$30:$M$38,10,0),"")</f>
        <v>2</v>
      </c>
      <c r="M27" s="226">
        <f>IF($C27&lt;&gt;"",$E27*VLOOKUP(VLOOKUP(C27,Нации!B$3:E$10,4,0),База!B$30:H$38,7,0)+G27+VLOOKUP(VLOOKUP(C27,Нации!$B$3:$E$10,4,0),База!$B$30:$M$38,11,0),"")</f>
        <v>0</v>
      </c>
      <c r="N27" s="245">
        <f>IF($C27&lt;&gt;"",$E27*VLOOKUP(VLOOKUP(C27,Нации!B$3:E$10,4,0),База!B$30:H$38,7,0)+H27+VLOOKUP(VLOOKUP(C27,Нации!$B$3:$E$10,4,0),База!$B$30:$M$38,12,0)+IF(K27&lt;&gt;"",VLOOKUP(K27,Чудеса!A$2:J$99,10,0),0),"")</f>
        <v>3</v>
      </c>
      <c r="O27" s="15" t="str">
        <f>IF(E27,База!$C$26,"")</f>
        <v/>
      </c>
      <c r="P27" s="15" t="str">
        <f ca="1">O27&amp;IF(F27,IF(O27&lt;&gt;"",", ","")&amp;OFFSET(INDIRECT("База!$B$"&amp;P$2),0,F27)&amp;" ("&amp;ROMAN(F27)&amp;IF(F27&lt;HLOOKUP($C27,Наука!$D$1:$J$69,P$1),"*","")&amp;")","")</f>
        <v>мастерская (II)</v>
      </c>
      <c r="Q27" s="15" t="str">
        <f ca="1">P27&amp;IF(G27,IF(P27&lt;&gt;"",", ","")&amp;OFFSET(INDIRECT("База!$B$"&amp;Q$2),0,G27)&amp;" ("&amp;ROMAN(G27)&amp;IF(G27&lt;HLOOKUP($C27,Наука!$D$1:$J$69,Q$1),"*","")&amp;")","")</f>
        <v>мастерская (II)</v>
      </c>
      <c r="R27" s="15" t="str">
        <f ca="1">Q27&amp;IF(H27,IF(Q27&lt;&gt;"",", ","")&amp;OFFSET(INDIRECT("База!$B$"&amp;R$2),0,H27)&amp;" ("&amp;ROMAN(H27)&amp;IF(H27&lt;HLOOKUP($C27,Наука!$D$1:$J$69,R$1),"*","")&amp;")","")</f>
        <v>мастерская (II), лаборатория (III)</v>
      </c>
      <c r="S27" s="15" t="str">
        <f ca="1">R27&amp;IF(I27,IF(R27&lt;&gt;"",", ","")&amp;OFFSET(INDIRECT("База!$B$"&amp;S$2),0,I27)&amp;" ("&amp;ROMAN(I27)&amp;IF(I27&lt;HLOOKUP($C27,Наука!$D$1:$J$69,S$1),"*","")&amp;")","")</f>
        <v>мастерская (II), лаборатория (III), казармы (I*)</v>
      </c>
      <c r="T27" s="15" t="str">
        <f ca="1">S27&amp;IF(J27,IF(S27&lt;&gt;"",", ","")&amp;OFFSET(База!$B$25,0,J27)&amp;" (защита +3)","")</f>
        <v>мастерская (II), лаборатория (III), казармы (I*)</v>
      </c>
      <c r="U27" s="15" t="str">
        <f ca="1">T27&amp;IF(K27&lt;&gt;"",IF(T27&lt;&gt;"",", ","")&amp;K27&amp;" (Чудо света"&amp;IF(VLOOKUP(K27,Чудеса!A:H,8,0),", "&amp;VLOOKUP(K27,Чудеса!A:G,7,0),"")&amp;")","")</f>
        <v>мастерская (II), лаборатория (III), казармы (I*)</v>
      </c>
      <c r="V27" s="15">
        <f ca="1">OFFSET(База!$O$2,D27,0)</f>
        <v>15625000</v>
      </c>
      <c r="W27" s="15" t="str">
        <f ca="1">"[br][b]"&amp;B27&amp;"[/b] (нас: "&amp;D27&amp;"; +"&amp;L27&amp;" "&amp;База!$L$2&amp;", +"&amp;M27&amp;" "&amp;База!$L$3&amp;", "&amp;TEXT(N27,"+#;-#;+0")&amp;" "&amp;База!$L$4&amp;")"&amp;IF(U27&lt;&gt;"",". Постройки: "&amp;U27&amp;".","")</f>
        <v>[br][b]Сиань[/b] (нас: 6; +2 Мл, +0 Мн, +3 ОН). Постройки: мастерская (II), лаборатория (III), казармы (I*).</v>
      </c>
      <c r="X27" s="15" t="str">
        <f t="shared" ca="1" si="19"/>
        <v>[li][b]Геленжик[/b] (нас: 5)[/li][li][b]Биау[/b] (нас: 3)[/li][li][b]Лондон[/b] (нас: 3)[/li][br]Всего население (примерно, с учетом агломераций): 25 250 000  человек.</v>
      </c>
      <c r="Y27" s="15" t="str">
        <f t="shared" si="5"/>
        <v>[br]Всего население (примерно, с учетом агломераций): 000  человек.</v>
      </c>
      <c r="Z27" s="15" t="str">
        <f t="shared" si="6"/>
        <v>[br]Всего население (примерно, с учетом агломераций): 000  человек.</v>
      </c>
      <c r="AA27" s="15" t="str">
        <f t="shared" ca="1" si="7"/>
        <v>[li][b]Мумбаи[/b] (нас: 1)[/li][br]Всего население (примерно, с учетом агломераций): 3 130 000  человек.</v>
      </c>
      <c r="AB27" s="15" t="str">
        <f t="shared" ca="1" si="8"/>
        <v>[li][b]Сиань[/b] (нас: 6)[/li][li][b]Чуаньчан[/b]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7" s="15" t="str">
        <f t="shared" ca="1" si="9"/>
        <v>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7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7" s="15" t="str">
        <f t="shared" ca="1" si="11"/>
        <v>[br]Всего население (примерно, с учетом агломераций): 5 000  человек.</v>
      </c>
      <c r="AG27" s="15" t="str">
        <f t="shared" ca="1" si="20"/>
        <v>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7" s="15" t="str">
        <f t="shared" si="12"/>
        <v/>
      </c>
      <c r="AI27" s="15" t="str">
        <f t="shared" si="13"/>
        <v/>
      </c>
      <c r="AJ27" s="15" t="str">
        <f t="shared" ca="1" si="14"/>
        <v>[br][b]Мумбаи[/b] (нас: 1; +0 Мл, +0 Мн, +0 ОН)</v>
      </c>
      <c r="AK27" s="15" t="str">
        <f t="shared" ca="1" si="15"/>
        <v>[br][b]Сиань[/b] (нас: 6; +2 Мл, +0 Мн, +3 ОН). Постройки: мастерская (II), лаборатория (III), казармы (I*).[br][b]Чуаньчан[/b]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7" s="15" t="str">
        <f t="shared" ca="1" si="16"/>
        <v>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7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7" s="15" t="str">
        <f t="shared" si="18"/>
        <v/>
      </c>
      <c r="AP27" s="227" t="str">
        <f t="shared" si="21"/>
        <v>Поднебесная</v>
      </c>
    </row>
    <row r="28" spans="1:42" x14ac:dyDescent="0.25">
      <c r="A28" s="15">
        <v>25</v>
      </c>
      <c r="B28" s="15" t="s">
        <v>355</v>
      </c>
      <c r="C28" s="15"/>
      <c r="D28" s="15">
        <v>5</v>
      </c>
      <c r="E28" s="15"/>
      <c r="F28" s="40">
        <v>4</v>
      </c>
      <c r="G28" s="40">
        <v>2</v>
      </c>
      <c r="H28" s="40">
        <v>2</v>
      </c>
      <c r="I28" s="40"/>
      <c r="J28" s="40"/>
      <c r="K28" s="15"/>
      <c r="L28" s="226" t="str">
        <f>IF($C28&lt;&gt;"",$E28*VLOOKUP(VLOOKUP(C28,Нации!B$3:E$10,4,0),База!B$30:H$38,7,0)+F28+VLOOKUP(VLOOKUP(C28,Нации!$B$3:$E$10,4,0),База!$B$30:$M$38,10,0),"")</f>
        <v/>
      </c>
      <c r="M28" s="226" t="str">
        <f>IF($C28&lt;&gt;"",$E28*VLOOKUP(VLOOKUP(C28,Нации!B$3:E$10,4,0),База!B$30:H$38,7,0)+G28+VLOOKUP(VLOOKUP(C28,Нации!$B$3:$E$10,4,0),База!$B$30:$M$38,11,0),"")</f>
        <v/>
      </c>
      <c r="N28" s="245" t="str">
        <f>IF($C28&lt;&gt;"",$E28*VLOOKUP(VLOOKUP(C28,Нации!B$3:E$10,4,0),База!B$30:H$38,7,0)+H28+VLOOKUP(VLOOKUP(C28,Нации!$B$3:$E$10,4,0),База!$B$30:$M$38,12,0)+IF(K28&lt;&gt;"",VLOOKUP(K28,Чудеса!A$2:J$99,10,0),0),"")</f>
        <v/>
      </c>
      <c r="O28" s="15" t="str">
        <f>IF(E28,База!$C$26,"")</f>
        <v/>
      </c>
      <c r="P28" s="15" t="e">
        <f ca="1">O28&amp;IF(F28,IF(O28&lt;&gt;"",", ","")&amp;OFFSET(INDIRECT("База!$B$"&amp;P$2),0,F28)&amp;" ("&amp;ROMAN(F28)&amp;IF(F28&lt;HLOOKUP($C28,Наука!$D$1:$J$69,P$1),"*","")&amp;")","")</f>
        <v>#N/A</v>
      </c>
      <c r="Q28" s="15" t="e">
        <f ca="1">P28&amp;IF(G28,IF(P28&lt;&gt;"",", ","")&amp;OFFSET(INDIRECT("База!$B$"&amp;Q$2),0,G28)&amp;" ("&amp;ROMAN(G28)&amp;IF(G28&lt;HLOOKUP($C28,Наука!$D$1:$J$69,Q$1),"*","")&amp;")","")</f>
        <v>#N/A</v>
      </c>
      <c r="R28" s="15" t="e">
        <f ca="1">Q28&amp;IF(H28,IF(Q28&lt;&gt;"",", ","")&amp;OFFSET(INDIRECT("База!$B$"&amp;R$2),0,H28)&amp;" ("&amp;ROMAN(H28)&amp;IF(H28&lt;HLOOKUP($C28,Наука!$D$1:$J$69,R$1),"*","")&amp;")","")</f>
        <v>#N/A</v>
      </c>
      <c r="S28" s="15" t="e">
        <f ca="1">R28&amp;IF(I28,IF(R28&lt;&gt;"",", ","")&amp;OFFSET(INDIRECT("База!$B$"&amp;S$2),0,I28)&amp;" ("&amp;ROMAN(I28)&amp;IF(I28&lt;HLOOKUP($C28,Наука!$D$1:$J$69,S$1),"*","")&amp;")","")</f>
        <v>#N/A</v>
      </c>
      <c r="T28" s="15" t="e">
        <f ca="1">S28&amp;IF(J28,IF(S28&lt;&gt;"",", ","")&amp;OFFSET(База!$B$25,0,J28)&amp;" (защита +3)","")</f>
        <v>#N/A</v>
      </c>
      <c r="U28" s="15" t="e">
        <f ca="1">T28&amp;IF(K28&lt;&gt;"",IF(T28&lt;&gt;"",", ","")&amp;K28&amp;" (Чудо света"&amp;IF(VLOOKUP(K28,Чудеса!A:H,8,0),", "&amp;VLOOKUP(K28,Чудеса!A:G,7,0),"")&amp;")","")</f>
        <v>#N/A</v>
      </c>
      <c r="V28" s="15">
        <f ca="1">OFFSET(База!$O$2,D28,0)</f>
        <v>3125000</v>
      </c>
      <c r="W28" s="15" t="e">
        <f ca="1">"[br][b]"&amp;B28&amp;"[/b] (нас: "&amp;D28&amp;"; +"&amp;L28&amp;" "&amp;База!$L$2&amp;", +"&amp;M28&amp;" "&amp;База!$L$3&amp;", "&amp;TEXT(N28,"+#;-#;+0")&amp;" "&amp;База!$L$4&amp;")"&amp;IF(U28&lt;&gt;"",". Постройки: "&amp;U28&amp;".","")</f>
        <v>#N/A</v>
      </c>
      <c r="X28" s="15" t="str">
        <f t="shared" ca="1" si="19"/>
        <v>[li][b]Геленжик[/b] (нас: 5)[/li][li][b]Биау[/b] (нас: 3)[/li][li][b]Лондон[/b] (нас: 3)[/li][br]Всего население (примерно, с учетом агломераций): 25 250 000  человек.</v>
      </c>
      <c r="Y28" s="15" t="str">
        <f t="shared" si="5"/>
        <v>[br]Всего население (примерно, с учетом агломераций): 000  человек.</v>
      </c>
      <c r="Z28" s="15" t="str">
        <f t="shared" si="6"/>
        <v>[br]Всего население (примерно, с учетом агломераций): 000  человек.</v>
      </c>
      <c r="AA28" s="15" t="str">
        <f t="shared" ca="1" si="7"/>
        <v>[li][b]Мумбаи[/b] (нас: 1)[/li][br]Всего население (примерно, с учетом агломераций): 3 130 000  человек.</v>
      </c>
      <c r="AB28" s="15" t="str">
        <f t="shared" ca="1" si="8"/>
        <v>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8" s="15" t="str">
        <f t="shared" ca="1" si="9"/>
        <v>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8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8" s="15" t="str">
        <f t="shared" ca="1" si="11"/>
        <v>[br]Всего население (примерно, с учетом агломераций): 5 000  человек.</v>
      </c>
      <c r="AG28" s="15" t="str">
        <f t="shared" ca="1" si="20"/>
        <v>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8" s="15" t="str">
        <f t="shared" si="12"/>
        <v/>
      </c>
      <c r="AI28" s="15" t="str">
        <f t="shared" si="13"/>
        <v/>
      </c>
      <c r="AJ28" s="15" t="str">
        <f t="shared" ca="1" si="14"/>
        <v>[br][b]Мумбаи[/b] (нас: 1; +0 Мл, +0 Мн, +0 ОН)</v>
      </c>
      <c r="AK28" s="15" t="str">
        <f t="shared" ca="1" si="15"/>
        <v>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8" s="15" t="str">
        <f t="shared" ca="1" si="16"/>
        <v>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8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8" s="15" t="str">
        <f t="shared" si="18"/>
        <v/>
      </c>
      <c r="AP28" s="227">
        <f t="shared" si="21"/>
        <v>0</v>
      </c>
    </row>
    <row r="29" spans="1:42" x14ac:dyDescent="0.25">
      <c r="A29" s="15">
        <v>26</v>
      </c>
      <c r="B29" s="15" t="s">
        <v>409</v>
      </c>
      <c r="C29" s="15" t="s">
        <v>2</v>
      </c>
      <c r="D29" s="15">
        <v>5</v>
      </c>
      <c r="E29" s="15"/>
      <c r="F29" s="40">
        <v>2</v>
      </c>
      <c r="G29" s="40"/>
      <c r="H29" s="40">
        <v>3</v>
      </c>
      <c r="I29" s="40"/>
      <c r="J29" s="40">
        <v>1</v>
      </c>
      <c r="K29" s="15"/>
      <c r="L29" s="226">
        <f>IF($C29&lt;&gt;"",$E29*VLOOKUP(VLOOKUP(C29,Нации!B$3:E$10,4,0),База!B$30:H$38,7,0)+F29+VLOOKUP(VLOOKUP(C29,Нации!$B$3:$E$10,4,0),База!$B$30:$M$38,10,0),"")</f>
        <v>2</v>
      </c>
      <c r="M29" s="226">
        <f>IF($C29&lt;&gt;"",$E29*VLOOKUP(VLOOKUP(C29,Нации!B$3:E$10,4,0),База!B$30:H$38,7,0)+G29+VLOOKUP(VLOOKUP(C29,Нации!$B$3:$E$10,4,0),База!$B$30:$M$38,11,0),"")</f>
        <v>0</v>
      </c>
      <c r="N29" s="245">
        <f>IF($C29&lt;&gt;"",$E29*VLOOKUP(VLOOKUP(C29,Нации!B$3:E$10,4,0),База!B$30:H$38,7,0)+H29+VLOOKUP(VLOOKUP(C29,Нации!$B$3:$E$10,4,0),База!$B$30:$M$38,12,0)+IF(K29&lt;&gt;"",VLOOKUP(K29,Чудеса!A$2:J$99,10,0),0),"")</f>
        <v>3</v>
      </c>
      <c r="O29" s="15" t="str">
        <f>IF(E29,База!$C$26,"")</f>
        <v/>
      </c>
      <c r="P29" s="15" t="str">
        <f ca="1">O29&amp;IF(F29,IF(O29&lt;&gt;"",", ","")&amp;OFFSET(INDIRECT("База!$B$"&amp;P$2),0,F29)&amp;" ("&amp;ROMAN(F29)&amp;IF(F29&lt;HLOOKUP($C29,Наука!$D$1:$J$69,P$1),"*","")&amp;")","")</f>
        <v>мастерская (II)</v>
      </c>
      <c r="Q29" s="15" t="str">
        <f ca="1">P29&amp;IF(G29,IF(P29&lt;&gt;"",", ","")&amp;OFFSET(INDIRECT("База!$B$"&amp;Q$2),0,G29)&amp;" ("&amp;ROMAN(G29)&amp;IF(G29&lt;HLOOKUP($C29,Наука!$D$1:$J$69,Q$1),"*","")&amp;")","")</f>
        <v>мастерская (II)</v>
      </c>
      <c r="R29" s="15" t="str">
        <f ca="1">Q29&amp;IF(H29,IF(Q29&lt;&gt;"",", ","")&amp;OFFSET(INDIRECT("База!$B$"&amp;R$2),0,H29)&amp;" ("&amp;ROMAN(H29)&amp;IF(H29&lt;HLOOKUP($C29,Наука!$D$1:$J$69,R$1),"*","")&amp;")","")</f>
        <v>мастерская (II), лаборатория (III)</v>
      </c>
      <c r="S29" s="15" t="str">
        <f ca="1">R29&amp;IF(I29,IF(R29&lt;&gt;"",", ","")&amp;OFFSET(INDIRECT("База!$B$"&amp;S$2),0,I29)&amp;" ("&amp;ROMAN(I29)&amp;IF(I29&lt;HLOOKUP($C29,Наука!$D$1:$J$69,S$1),"*","")&amp;")","")</f>
        <v>мастерская (II), лаборатория (III)</v>
      </c>
      <c r="T29" s="15" t="str">
        <f ca="1">S29&amp;IF(J29,IF(S29&lt;&gt;"",", ","")&amp;OFFSET(База!$B$25,0,J29)&amp;" (защита +3)","")</f>
        <v>мастерская (II), лаборатория (III), стены (защита +3)</v>
      </c>
      <c r="U29" s="15" t="str">
        <f ca="1">T29&amp;IF(K29&lt;&gt;"",IF(T29&lt;&gt;"",", ","")&amp;K29&amp;" (Чудо света"&amp;IF(VLOOKUP(K29,Чудеса!A:H,8,0),", "&amp;VLOOKUP(K29,Чудеса!A:G,7,0),"")&amp;")","")</f>
        <v>мастерская (II), лаборатория (III), стены (защита +3)</v>
      </c>
      <c r="V29" s="15">
        <f ca="1">OFFSET(База!$O$2,D29,0)</f>
        <v>3125000</v>
      </c>
      <c r="W29" s="15" t="str">
        <f ca="1">"[br][b]"&amp;B29&amp;"[/b] (нас: "&amp;D29&amp;"; +"&amp;L29&amp;" "&amp;База!$L$2&amp;", +"&amp;M29&amp;" "&amp;База!$L$3&amp;", "&amp;TEXT(N29,"+#;-#;+0")&amp;" "&amp;База!$L$4&amp;")"&amp;IF(U29&lt;&gt;"",". Постройки: "&amp;U29&amp;".","")</f>
        <v>[br][b]Геленжик[/b] (нас: 5; +2 Мл, +0 Мн, +3 ОН). Постройки: мастерская (II), лаборатория (III), стены (защита +3).</v>
      </c>
      <c r="X29" s="15" t="str">
        <f t="shared" ca="1" si="19"/>
        <v>[li][b]Геленжик[/b] (нас: 5)[/li][li][b]Биау[/b] (нас: 3)[/li][li][b]Лондон[/b] (нас: 3)[/li][br]Всего население (примерно, с учетом агломераций): 25 250 000  человек.</v>
      </c>
      <c r="Y29" s="15" t="str">
        <f t="shared" si="5"/>
        <v>[br]Всего население (примерно, с учетом агломераций): 000  человек.</v>
      </c>
      <c r="Z29" s="15" t="str">
        <f t="shared" si="6"/>
        <v>[br]Всего население (примерно, с учетом агломераций): 000  человек.</v>
      </c>
      <c r="AA29" s="15" t="str">
        <f t="shared" ca="1" si="7"/>
        <v>[li][b]Мумбаи[/b] (нас: 1)[/li][br]Всего население (примерно, с учетом агломераций): 3 130 000  человек.</v>
      </c>
      <c r="AB29" s="15" t="str">
        <f t="shared" ca="1" si="8"/>
        <v>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29" s="15" t="str">
        <f t="shared" ca="1" si="9"/>
        <v>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29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29" s="15" t="str">
        <f t="shared" ca="1" si="11"/>
        <v>[br]Всего население (примерно, с учетом агломераций): 5 000  человек.</v>
      </c>
      <c r="AG29" s="15" t="str">
        <f t="shared" ca="1" si="20"/>
        <v>[br][b]Геленжик[/b] (нас: 5; +2 Мл, +0 Мн, +3 ОН). Постройки: мастерская (II), лаборатория (III), стены (защита +3).[br][b]Биау[/b]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29" s="15" t="str">
        <f t="shared" si="12"/>
        <v/>
      </c>
      <c r="AI29" s="15" t="str">
        <f t="shared" si="13"/>
        <v/>
      </c>
      <c r="AJ29" s="15" t="str">
        <f t="shared" ca="1" si="14"/>
        <v>[br][b]Мумбаи[/b] (нас: 1; +0 Мл, +0 Мн, +0 ОН)</v>
      </c>
      <c r="AK29" s="15" t="str">
        <f t="shared" ca="1" si="15"/>
        <v>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29" s="15" t="str">
        <f t="shared" ca="1" si="16"/>
        <v>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29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29" s="15" t="str">
        <f t="shared" si="18"/>
        <v/>
      </c>
      <c r="AP29" s="227" t="str">
        <f t="shared" si="21"/>
        <v>Русь</v>
      </c>
    </row>
    <row r="30" spans="1:42" x14ac:dyDescent="0.25">
      <c r="A30" s="15">
        <v>27</v>
      </c>
      <c r="B30" s="15" t="s">
        <v>410</v>
      </c>
      <c r="C30" s="15" t="s">
        <v>7</v>
      </c>
      <c r="D30" s="15">
        <v>5</v>
      </c>
      <c r="E30" s="15"/>
      <c r="F30" s="40"/>
      <c r="G30" s="40"/>
      <c r="H30" s="40">
        <v>1</v>
      </c>
      <c r="I30" s="40">
        <v>2</v>
      </c>
      <c r="J30" s="40">
        <v>1</v>
      </c>
      <c r="K30" s="15"/>
      <c r="L30" s="226">
        <f>IF($C30&lt;&gt;"",$E30*VLOOKUP(VLOOKUP(C30,Нации!B$3:E$10,4,0),База!B$30:H$38,7,0)+F30+VLOOKUP(VLOOKUP(C30,Нации!$B$3:$E$10,4,0),База!$B$30:$M$38,10,0),"")</f>
        <v>0</v>
      </c>
      <c r="M30" s="226">
        <f>IF($C30&lt;&gt;"",$E30*VLOOKUP(VLOOKUP(C30,Нации!B$3:E$10,4,0),База!B$30:H$38,7,0)+G30+VLOOKUP(VLOOKUP(C30,Нации!$B$3:$E$10,4,0),База!$B$30:$M$38,11,0),"")</f>
        <v>0</v>
      </c>
      <c r="N30" s="245">
        <f>IF($C30&lt;&gt;"",$E30*VLOOKUP(VLOOKUP(C30,Нации!B$3:E$10,4,0),База!B$30:H$38,7,0)+H30+VLOOKUP(VLOOKUP(C30,Нации!$B$3:$E$10,4,0),База!$B$30:$M$38,12,0)+IF(K30&lt;&gt;"",VLOOKUP(K30,Чудеса!A$2:J$99,10,0),0),"")</f>
        <v>1</v>
      </c>
      <c r="O30" s="15" t="str">
        <f>IF(E30,База!$C$26,"")</f>
        <v/>
      </c>
      <c r="P30" s="15" t="str">
        <f ca="1">O30&amp;IF(F30,IF(O30&lt;&gt;"",", ","")&amp;OFFSET(INDIRECT("База!$B$"&amp;P$2),0,F30)&amp;" ("&amp;ROMAN(F30)&amp;IF(F30&lt;HLOOKUP($C30,Наука!$D$1:$J$69,P$1),"*","")&amp;")","")</f>
        <v/>
      </c>
      <c r="Q30" s="15" t="str">
        <f ca="1">P30&amp;IF(G30,IF(P30&lt;&gt;"",", ","")&amp;OFFSET(INDIRECT("База!$B$"&amp;Q$2),0,G30)&amp;" ("&amp;ROMAN(G30)&amp;IF(G30&lt;HLOOKUP($C30,Наука!$D$1:$J$69,Q$1),"*","")&amp;")","")</f>
        <v/>
      </c>
      <c r="R30" s="15" t="str">
        <f ca="1">Q30&amp;IF(H30,IF(Q30&lt;&gt;"",", ","")&amp;OFFSET(INDIRECT("База!$B$"&amp;R$2),0,H30)&amp;" ("&amp;ROMAN(H30)&amp;IF(H30&lt;HLOOKUP($C30,Наука!$D$1:$J$69,R$1),"*","")&amp;")","")</f>
        <v>библиотека (I*)</v>
      </c>
      <c r="S30" s="15" t="str">
        <f ca="1">R30&amp;IF(I30,IF(R30&lt;&gt;"",", ","")&amp;OFFSET(INDIRECT("База!$B$"&amp;S$2),0,I30)&amp;" ("&amp;ROMAN(I30)&amp;IF(I30&lt;HLOOKUP($C30,Наука!$D$1:$J$69,S$1),"*","")&amp;")","")</f>
        <v>библиотека (I*), арсенал (II)</v>
      </c>
      <c r="T30" s="15" t="str">
        <f ca="1">S30&amp;IF(J30,IF(S30&lt;&gt;"",", ","")&amp;OFFSET(База!$B$25,0,J30)&amp;" (защита +3)","")</f>
        <v>библиотека (I*), арсенал (II), стены (защита +3)</v>
      </c>
      <c r="U30" s="15" t="str">
        <f ca="1">T30&amp;IF(K30&lt;&gt;"",IF(T30&lt;&gt;"",", ","")&amp;K30&amp;" (Чудо света"&amp;IF(VLOOKUP(K30,Чудеса!A:H,8,0),", "&amp;VLOOKUP(K30,Чудеса!A:G,7,0),"")&amp;")","")</f>
        <v>библиотека (I*), арсенал (II), стены (защита +3)</v>
      </c>
      <c r="V30" s="15">
        <f ca="1">OFFSET(База!$O$2,D30,0)</f>
        <v>3125000</v>
      </c>
      <c r="W30" s="15" t="str">
        <f ca="1">"[br][b]"&amp;B30&amp;"[/b] (нас: "&amp;D30&amp;"; +"&amp;L30&amp;" "&amp;База!$L$2&amp;", +"&amp;M30&amp;" "&amp;База!$L$3&amp;", "&amp;TEXT(N30,"+#;-#;+0")&amp;" "&amp;База!$L$4&amp;")"&amp;IF(U30&lt;&gt;"",". Постройки: "&amp;U30&amp;".","")</f>
        <v>[br][b]Маккасар[/b] (нас: 5; +0 Мл, +0 Мн, +1 ОН). Постройки: библиотека (I*), арсенал (II), стены (защита +3).</v>
      </c>
      <c r="X30" s="15" t="str">
        <f t="shared" ca="1" si="19"/>
        <v>[li][b]Биау[/b] (нас: 3)[/li][li][b]Лондон[/b] (нас: 3)[/li][br]Всего население (примерно, с учетом агломераций): 25 250 000  человек.</v>
      </c>
      <c r="Y30" s="15" t="str">
        <f t="shared" si="5"/>
        <v>[br]Всего население (примерно, с учетом агломераций): 000  человек.</v>
      </c>
      <c r="Z30" s="15" t="str">
        <f t="shared" si="6"/>
        <v>[br]Всего население (примерно, с учетом агломераций): 000  человек.</v>
      </c>
      <c r="AA30" s="15" t="str">
        <f t="shared" ca="1" si="7"/>
        <v>[li][b]Мумбаи[/b] (нас: 1)[/li][br]Всего население (примерно, с учетом агломераций): 3 130 000  человек.</v>
      </c>
      <c r="AB30" s="15" t="str">
        <f t="shared" ca="1" si="8"/>
        <v>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30" s="15" t="str">
        <f t="shared" ca="1" si="9"/>
        <v>[li][b]Маккасар[/b] (нас: 5)[/li][li][b]Гоа[/b]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30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30" s="15" t="str">
        <f t="shared" ca="1" si="11"/>
        <v>[br]Всего население (примерно, с учетом агломераций): 5 000  человек.</v>
      </c>
      <c r="AG30" s="15" t="str">
        <f t="shared" ca="1" si="20"/>
        <v>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30" s="15" t="str">
        <f t="shared" si="12"/>
        <v/>
      </c>
      <c r="AI30" s="15" t="str">
        <f t="shared" si="13"/>
        <v/>
      </c>
      <c r="AJ30" s="15" t="str">
        <f t="shared" ca="1" si="14"/>
        <v>[br][b]Мумбаи[/b] (нас: 1; +0 Мл, +0 Мн, +0 ОН)</v>
      </c>
      <c r="AK30" s="15" t="str">
        <f t="shared" ca="1" si="15"/>
        <v>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30" s="15" t="str">
        <f t="shared" ca="1" si="16"/>
        <v>[br][b]Маккасар[/b] (нас: 5; +0 Мл, +0 Мн, +1 ОН). Постройки: библиотека (I*), арсенал (II), стены (защита +3).[br][b]Гоа[/b]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0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30" s="15" t="str">
        <f t="shared" si="18"/>
        <v/>
      </c>
      <c r="AP30" s="227" t="str">
        <f t="shared" si="21"/>
        <v>Индонезия</v>
      </c>
    </row>
    <row r="31" spans="1:42" x14ac:dyDescent="0.25">
      <c r="A31" s="15">
        <v>28</v>
      </c>
      <c r="B31" s="15" t="s">
        <v>319</v>
      </c>
      <c r="C31" s="15" t="s">
        <v>4</v>
      </c>
      <c r="D31" s="15">
        <v>3</v>
      </c>
      <c r="E31" s="15">
        <v>1</v>
      </c>
      <c r="F31" s="40">
        <v>1</v>
      </c>
      <c r="G31" s="40">
        <v>2</v>
      </c>
      <c r="H31" s="40">
        <v>2</v>
      </c>
      <c r="I31" s="40">
        <v>1</v>
      </c>
      <c r="J31" s="40">
        <v>1</v>
      </c>
      <c r="K31" s="15" t="str">
        <f>Чудеса!A12</f>
        <v>Запретный дворец</v>
      </c>
      <c r="L31" s="226">
        <f>IF($C31&lt;&gt;"",$E31*VLOOKUP(VLOOKUP(C31,Нации!B$3:E$10,4,0),База!B$30:H$38,7,0)+F31+VLOOKUP(VLOOKUP(C31,Нации!$B$3:$E$10,4,0),База!$B$30:$M$38,10,0),"")</f>
        <v>3</v>
      </c>
      <c r="M31" s="226">
        <f>IF($C31&lt;&gt;"",$E31*VLOOKUP(VLOOKUP(C31,Нации!B$3:E$10,4,0),База!B$30:H$38,7,0)+G31+VLOOKUP(VLOOKUP(C31,Нации!$B$3:$E$10,4,0),База!$B$30:$M$38,11,0),"")</f>
        <v>4</v>
      </c>
      <c r="N31" s="245">
        <f>IF($C31&lt;&gt;"",$E31*VLOOKUP(VLOOKUP(C31,Нации!B$3:E$10,4,0),База!B$30:H$38,7,0)+H31+VLOOKUP(VLOOKUP(C31,Нации!$B$3:$E$10,4,0),База!$B$30:$M$38,12,0)+IF(K31&lt;&gt;"",VLOOKUP(K31,Чудеса!A$2:J$99,10,0),0),"")</f>
        <v>4</v>
      </c>
      <c r="O31" s="15" t="str">
        <f>IF(E31,База!$C$26,"")</f>
        <v>дворец</v>
      </c>
      <c r="P31" s="15" t="str">
        <f ca="1">O31&amp;IF(F31,IF(O31&lt;&gt;"",", ","")&amp;OFFSET(INDIRECT("База!$B$"&amp;P$2),0,F31)&amp;" ("&amp;ROMAN(F31)&amp;IF(F31&lt;HLOOKUP($C31,Наука!$D$1:$J$69,P$1),"*","")&amp;")","")</f>
        <v>дворец, кузница (I*)</v>
      </c>
      <c r="Q31" s="15" t="str">
        <f ca="1">P31&amp;IF(G31,IF(P31&lt;&gt;"",", ","")&amp;OFFSET(INDIRECT("База!$B$"&amp;Q$2),0,G31)&amp;" ("&amp;ROMAN(G31)&amp;IF(G31&lt;HLOOKUP($C31,Наука!$D$1:$J$69,Q$1),"*","")&amp;")","")</f>
        <v>дворец, кузница (I*), базар (II*)</v>
      </c>
      <c r="R31" s="15" t="str">
        <f ca="1">Q31&amp;IF(H31,IF(Q31&lt;&gt;"",", ","")&amp;OFFSET(INDIRECT("База!$B$"&amp;R$2),0,H31)&amp;" ("&amp;ROMAN(H31)&amp;IF(H31&lt;HLOOKUP($C31,Наука!$D$1:$J$69,R$1),"*","")&amp;")","")</f>
        <v>дворец, кузница (I*), базар (II*), университет (II)</v>
      </c>
      <c r="S31" s="15" t="str">
        <f ca="1">R31&amp;IF(I31,IF(R31&lt;&gt;"",", ","")&amp;OFFSET(INDIRECT("База!$B$"&amp;S$2),0,I31)&amp;" ("&amp;ROMAN(I31)&amp;IF(I31&lt;HLOOKUP($C31,Наука!$D$1:$J$69,S$1),"*","")&amp;")","")</f>
        <v>дворец, кузница (I*), базар (II*), университет (II), казармы (I*)</v>
      </c>
      <c r="T31" s="15" t="str">
        <f ca="1">S31&amp;IF(J31,IF(S31&lt;&gt;"",", ","")&amp;OFFSET(База!$B$25,0,J31)&amp;" (защита +3)","")</f>
        <v>дворец, кузница (I*), базар (II*), университет (II), казармы (I*), стены (защита +3)</v>
      </c>
      <c r="U31" s="15" t="str">
        <f ca="1">T31&amp;IF(K31&lt;&gt;"",IF(T31&lt;&gt;"",", ","")&amp;K31&amp;" (Чудо света"&amp;IF(VLOOKUP(K31,Чудеса!A:H,8,0),", "&amp;VLOOKUP(K31,Чудеса!A:G,7,0),"")&amp;")","")</f>
        <v>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</v>
      </c>
      <c r="V31" s="15">
        <f ca="1">OFFSET(База!$O$2,D31,0)</f>
        <v>125000</v>
      </c>
      <c r="W31" s="15" t="str">
        <f ca="1">"[br][b]"&amp;B31&amp;"[/b] (нас: "&amp;D31&amp;"; +"&amp;L31&amp;" "&amp;База!$L$2&amp;", +"&amp;M31&amp;" "&amp;База!$L$3&amp;", "&amp;TEXT(N31,"+#;-#;+0")&amp;" "&amp;База!$L$4&amp;")"&amp;IF(U31&lt;&gt;"",". Постройки: "&amp;U31&amp;".","")</f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</v>
      </c>
      <c r="X31" s="15" t="str">
        <f t="shared" ca="1" si="19"/>
        <v>[li][b]Биау[/b] (нас: 3)[/li][li][b]Лондон[/b] (нас: 3)[/li][br]Всего население (примерно, с учетом агломераций): 25 250 000  человек.</v>
      </c>
      <c r="Y31" s="15" t="str">
        <f t="shared" si="5"/>
        <v>[br]Всего население (примерно, с учетом агломераций): 000  человек.</v>
      </c>
      <c r="Z31" s="15" t="str">
        <f t="shared" si="6"/>
        <v>[br]Всего население (примерно, с учетом агломераций): 000  человек.</v>
      </c>
      <c r="AA31" s="15" t="str">
        <f t="shared" ca="1" si="7"/>
        <v>[li][b]Мумбаи[/b] (нас: 1)[/li][br]Всего население (примерно, с учетом агломераций): 3 130 000  человек.</v>
      </c>
      <c r="AB31" s="15" t="str">
        <f t="shared" ca="1" si="8"/>
        <v>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31" s="15" t="str">
        <f t="shared" ca="1" si="9"/>
        <v>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31" s="15" t="str">
        <f t="shared" ca="1" si="10"/>
        <v>[li][b]Гиза[/b] (нас: 3). Чудо света: Запретный дворец[/li][li][b]Ра-Кедет[/b] (нас: 3)[/li][li][b]Мемфис[/b] (нас: 1)[/li][br]Всего население (примерно, с учетом агломераций): 255 000  человек.</v>
      </c>
      <c r="AE31" s="15" t="str">
        <f t="shared" ca="1" si="11"/>
        <v>[br]Всего население (примерно, с учетом агломераций): 5 000  человек.</v>
      </c>
      <c r="AG31" s="15" t="str">
        <f t="shared" ca="1" si="20"/>
        <v>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31" s="15" t="str">
        <f t="shared" si="12"/>
        <v/>
      </c>
      <c r="AI31" s="15" t="str">
        <f t="shared" si="13"/>
        <v/>
      </c>
      <c r="AJ31" s="15" t="str">
        <f t="shared" ca="1" si="14"/>
        <v>[br][b]Мумбаи[/b] (нас: 1; +0 Мл, +0 Мн, +0 ОН)</v>
      </c>
      <c r="AK31" s="15" t="str">
        <f t="shared" ca="1" si="15"/>
        <v>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31" s="15" t="str">
        <f t="shared" ca="1" si="16"/>
        <v>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1" s="15" t="str">
        <f t="shared" ca="1" si="17"/>
        <v>[br][b]Гиза[/b] (нас: 3; +3 Мл, +4 Мн, +4 ОН). Постройки: дворец, кузница (I*), базар (II*), университет (II), казармы (I*), стены (защита +3), Запретный дворец (Чудо света, не может строиться в столице. Город производит одно обычное строение в ход бесплатно, но это считается строительством.).[br][b]Ра-Кедет[/b] (нас: 3; +0 Мл, +2 Мн, +3 ОН). Постройки: базар (II*), лаборатория (III).[br][b]Мемфис[/b] (нас: 1; +0 Мл, +0 Мн, +0 ОН)</v>
      </c>
      <c r="AN31" s="15" t="str">
        <f t="shared" si="18"/>
        <v/>
      </c>
      <c r="AP31" s="227" t="str">
        <f t="shared" si="21"/>
        <v>Египет</v>
      </c>
    </row>
    <row r="32" spans="1:42" x14ac:dyDescent="0.25">
      <c r="A32" s="15">
        <v>29</v>
      </c>
      <c r="B32" s="15" t="s">
        <v>455</v>
      </c>
      <c r="C32" s="15" t="s">
        <v>6</v>
      </c>
      <c r="D32" s="15">
        <v>6</v>
      </c>
      <c r="E32" s="15"/>
      <c r="F32" s="40"/>
      <c r="G32" s="40"/>
      <c r="H32" s="40">
        <v>3</v>
      </c>
      <c r="I32" s="40"/>
      <c r="J32" s="40"/>
      <c r="K32" s="15"/>
      <c r="L32" s="226">
        <f>IF($C32&lt;&gt;"",$E32*VLOOKUP(VLOOKUP(C32,Нации!B$3:E$10,4,0),База!B$30:H$38,7,0)+F32+VLOOKUP(VLOOKUP(C32,Нации!$B$3:$E$10,4,0),База!$B$30:$M$38,10,0),"")</f>
        <v>0</v>
      </c>
      <c r="M32" s="226">
        <f>IF($C32&lt;&gt;"",$E32*VLOOKUP(VLOOKUP(C32,Нации!B$3:E$10,4,0),База!B$30:H$38,7,0)+G32+VLOOKUP(VLOOKUP(C32,Нации!$B$3:$E$10,4,0),База!$B$30:$M$38,11,0),"")</f>
        <v>0</v>
      </c>
      <c r="N32" s="245">
        <f>IF($C32&lt;&gt;"",$E32*VLOOKUP(VLOOKUP(C32,Нации!B$3:E$10,4,0),База!B$30:H$38,7,0)+H32+VLOOKUP(VLOOKUP(C32,Нации!$B$3:$E$10,4,0),База!$B$30:$M$38,12,0)+IF(K32&lt;&gt;"",VLOOKUP(K32,Чудеса!A$2:J$99,10,0),0),"")</f>
        <v>3</v>
      </c>
      <c r="O32" s="15" t="str">
        <f>IF(E32,База!$C$26,"")</f>
        <v/>
      </c>
      <c r="P32" s="15" t="str">
        <f ca="1">O32&amp;IF(F32,IF(O32&lt;&gt;"",", ","")&amp;OFFSET(INDIRECT("База!$B$"&amp;P$2),0,F32)&amp;" ("&amp;ROMAN(F32)&amp;IF(F32&lt;HLOOKUP($C32,Наука!$D$1:$J$69,P$1),"*","")&amp;")","")</f>
        <v/>
      </c>
      <c r="Q32" s="15" t="str">
        <f ca="1">P32&amp;IF(G32,IF(P32&lt;&gt;"",", ","")&amp;OFFSET(INDIRECT("База!$B$"&amp;Q$2),0,G32)&amp;" ("&amp;ROMAN(G32)&amp;IF(G32&lt;HLOOKUP($C32,Наука!$D$1:$J$69,Q$1),"*","")&amp;")","")</f>
        <v/>
      </c>
      <c r="R32" s="15" t="str">
        <f ca="1">Q32&amp;IF(H32,IF(Q32&lt;&gt;"",", ","")&amp;OFFSET(INDIRECT("База!$B$"&amp;R$2),0,H32)&amp;" ("&amp;ROMAN(H32)&amp;IF(H32&lt;HLOOKUP($C32,Наука!$D$1:$J$69,R$1),"*","")&amp;")","")</f>
        <v>лаборатория (III)</v>
      </c>
      <c r="S32" s="15" t="str">
        <f ca="1">R32&amp;IF(I32,IF(R32&lt;&gt;"",", ","")&amp;OFFSET(INDIRECT("База!$B$"&amp;S$2),0,I32)&amp;" ("&amp;ROMAN(I32)&amp;IF(I32&lt;HLOOKUP($C32,Наука!$D$1:$J$69,S$1),"*","")&amp;")","")</f>
        <v>лаборатория (III)</v>
      </c>
      <c r="T32" s="15" t="str">
        <f ca="1">S32&amp;IF(J32,IF(S32&lt;&gt;"",", ","")&amp;OFFSET(База!$B$25,0,J32)&amp;" (защита +3)","")</f>
        <v>лаборатория (III)</v>
      </c>
      <c r="U32" s="15" t="str">
        <f ca="1">T32&amp;IF(K32&lt;&gt;"",IF(T32&lt;&gt;"",", ","")&amp;K32&amp;" (Чудо света"&amp;IF(VLOOKUP(K32,Чудеса!A:H,8,0),", "&amp;VLOOKUP(K32,Чудеса!A:G,7,0),"")&amp;")","")</f>
        <v>лаборатория (III)</v>
      </c>
      <c r="V32" s="15">
        <f ca="1">OFFSET(База!$O$2,D32,0)</f>
        <v>15625000</v>
      </c>
      <c r="W32" s="15" t="str">
        <f ca="1">"[br][b]"&amp;B32&amp;"[/b] (нас: "&amp;D32&amp;"; +"&amp;L32&amp;" "&amp;База!$L$2&amp;", +"&amp;M32&amp;" "&amp;База!$L$3&amp;", "&amp;TEXT(N32,"+#;-#;+0")&amp;" "&amp;База!$L$4&amp;")"&amp;IF(U32&lt;&gt;"",". Постройки: "&amp;U32&amp;".","")</f>
        <v>[br][b]Чуаньчан[/b] (нас: 6; +0 Мл, +0 Мн, +3 ОН). Постройки: лаборатория (III).</v>
      </c>
      <c r="X32" s="15" t="str">
        <f t="shared" ca="1" si="19"/>
        <v>[li][b]Биау[/b] (нас: 3)[/li][li][b]Лондон[/b] (нас: 3)[/li][br]Всего население (примерно, с учетом агломераций): 25 250 000  человек.</v>
      </c>
      <c r="Y32" s="15" t="str">
        <f t="shared" si="5"/>
        <v>[br]Всего население (примерно, с учетом агломераций): 000  человек.</v>
      </c>
      <c r="Z32" s="15" t="str">
        <f t="shared" si="6"/>
        <v>[br]Всего население (примерно, с учетом агломераций): 000  человек.</v>
      </c>
      <c r="AA32" s="15" t="str">
        <f t="shared" ca="1" si="7"/>
        <v>[li][b]Мумбаи[/b] (нас: 1)[/li][br]Всего население (примерно, с учетом агломераций): 3 130 000  человек.</v>
      </c>
      <c r="AB32" s="15" t="str">
        <f t="shared" ca="1" si="8"/>
        <v>[li][b]Чуаньчан[/b] (нас: 6)[/li][li][b]Синь Далянь[/b] (нас: 4)[/li][li][b]Урумчи[/b] (нас: 1)[/li][br]Всего население (примерно, с учетом агломераций): 63 130 000  человек.</v>
      </c>
      <c r="AC32" s="15" t="str">
        <f t="shared" ca="1" si="9"/>
        <v>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32" s="15" t="str">
        <f t="shared" ca="1" si="10"/>
        <v>[li][b]Ра-Кедет[/b] (нас: 3)[/li][li][b]Мемфис[/b] (нас: 1)[/li][br]Всего население (примерно, с учетом агломераций): 255 000  человек.</v>
      </c>
      <c r="AE32" s="15" t="str">
        <f t="shared" ca="1" si="11"/>
        <v>[br]Всего население (примерно, с учетом агломераций): 5 000  человек.</v>
      </c>
      <c r="AG32" s="15" t="str">
        <f t="shared" ca="1" si="20"/>
        <v>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32" s="15" t="str">
        <f t="shared" si="12"/>
        <v/>
      </c>
      <c r="AI32" s="15" t="str">
        <f t="shared" si="13"/>
        <v/>
      </c>
      <c r="AJ32" s="15" t="str">
        <f t="shared" ca="1" si="14"/>
        <v>[br][b]Мумбаи[/b] (нас: 1; +0 Мл, +0 Мн, +0 ОН)</v>
      </c>
      <c r="AK32" s="15" t="str">
        <f t="shared" ca="1" si="15"/>
        <v>[br][b]Чуаньчан[/b] (нас: 6; +0 Мл, +0 Мн, +3 ОН). Постройки: лаборатория (III).[br][b]Синь Далянь[/b] (нас: 4; +3 Мл, +0 Мн, +3 ОН). Постройки: фабрика (III), лаборатория (III).[br][b]Урумчи[/b] (нас: 1; +0 Мл, +0 Мн, +0 ОН)</v>
      </c>
      <c r="AL32" s="15" t="str">
        <f t="shared" ca="1" si="16"/>
        <v>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2" s="15" t="str">
        <f t="shared" ca="1" si="17"/>
        <v>[br][b]Ра-Кедет[/b] (нас: 3; +0 Мл, +2 Мн, +3 ОН). Постройки: базар (II*), лаборатория (III).[br][b]Мемфис[/b] (нас: 1; +0 Мл, +0 Мн, +0 ОН)</v>
      </c>
      <c r="AN32" s="15" t="str">
        <f t="shared" si="18"/>
        <v/>
      </c>
      <c r="AP32" s="227" t="str">
        <f t="shared" si="21"/>
        <v>Поднебесная</v>
      </c>
    </row>
    <row r="33" spans="1:42" x14ac:dyDescent="0.25">
      <c r="A33" s="15">
        <v>30</v>
      </c>
      <c r="B33" s="15" t="s">
        <v>339</v>
      </c>
      <c r="C33" s="15" t="s">
        <v>7</v>
      </c>
      <c r="D33" s="15">
        <v>5</v>
      </c>
      <c r="E33" s="15"/>
      <c r="F33" s="40"/>
      <c r="G33" s="40"/>
      <c r="H33" s="40">
        <v>3</v>
      </c>
      <c r="I33" s="40"/>
      <c r="J33" s="40">
        <v>1</v>
      </c>
      <c r="K33" s="15"/>
      <c r="L33" s="226">
        <f>IF($C33&lt;&gt;"",$E33*VLOOKUP(VLOOKUP(C33,Нации!B$3:E$10,4,0),База!B$30:H$38,7,0)+F33+VLOOKUP(VLOOKUP(C33,Нации!$B$3:$E$10,4,0),База!$B$30:$M$38,10,0),"")</f>
        <v>0</v>
      </c>
      <c r="M33" s="226">
        <f>IF($C33&lt;&gt;"",$E33*VLOOKUP(VLOOKUP(C33,Нации!B$3:E$10,4,0),База!B$30:H$38,7,0)+G33+VLOOKUP(VLOOKUP(C33,Нации!$B$3:$E$10,4,0),База!$B$30:$M$38,11,0),"")</f>
        <v>0</v>
      </c>
      <c r="N33" s="245">
        <f>IF($C33&lt;&gt;"",$E33*VLOOKUP(VLOOKUP(C33,Нации!B$3:E$10,4,0),База!B$30:H$38,7,0)+H33+VLOOKUP(VLOOKUP(C33,Нации!$B$3:$E$10,4,0),База!$B$30:$M$38,12,0)+IF(K33&lt;&gt;"",VLOOKUP(K33,Чудеса!A$2:J$99,10,0),0),"")</f>
        <v>3</v>
      </c>
      <c r="O33" s="15" t="str">
        <f>IF(E33,База!$C$26,"")</f>
        <v/>
      </c>
      <c r="P33" s="15" t="str">
        <f ca="1">O33&amp;IF(F33,IF(O33&lt;&gt;"",", ","")&amp;OFFSET(INDIRECT("База!$B$"&amp;P$2),0,F33)&amp;" ("&amp;ROMAN(F33)&amp;IF(F33&lt;HLOOKUP($C33,Наука!$D$1:$J$69,P$1),"*","")&amp;")","")</f>
        <v/>
      </c>
      <c r="Q33" s="15" t="str">
        <f ca="1">P33&amp;IF(G33,IF(P33&lt;&gt;"",", ","")&amp;OFFSET(INDIRECT("База!$B$"&amp;Q$2),0,G33)&amp;" ("&amp;ROMAN(G33)&amp;IF(G33&lt;HLOOKUP($C33,Наука!$D$1:$J$69,Q$1),"*","")&amp;")","")</f>
        <v/>
      </c>
      <c r="R33" s="15" t="str">
        <f ca="1">Q33&amp;IF(H33,IF(Q33&lt;&gt;"",", ","")&amp;OFFSET(INDIRECT("База!$B$"&amp;R$2),0,H33)&amp;" ("&amp;ROMAN(H33)&amp;IF(H33&lt;HLOOKUP($C33,Наука!$D$1:$J$69,R$1),"*","")&amp;")","")</f>
        <v>лаборатория (III)</v>
      </c>
      <c r="S33" s="15" t="str">
        <f ca="1">R33&amp;IF(I33,IF(R33&lt;&gt;"",", ","")&amp;OFFSET(INDIRECT("База!$B$"&amp;S$2),0,I33)&amp;" ("&amp;ROMAN(I33)&amp;IF(I33&lt;HLOOKUP($C33,Наука!$D$1:$J$69,S$1),"*","")&amp;")","")</f>
        <v>лаборатория (III)</v>
      </c>
      <c r="T33" s="15" t="str">
        <f ca="1">S33&amp;IF(J33,IF(S33&lt;&gt;"",", ","")&amp;OFFSET(База!$B$25,0,J33)&amp;" (защита +3)","")</f>
        <v>лаборатория (III), стены (защита +3)</v>
      </c>
      <c r="U33" s="15" t="str">
        <f ca="1">T33&amp;IF(K33&lt;&gt;"",IF(T33&lt;&gt;"",", ","")&amp;K33&amp;" (Чудо света"&amp;IF(VLOOKUP(K33,Чудеса!A:H,8,0),", "&amp;VLOOKUP(K33,Чудеса!A:G,7,0),"")&amp;")","")</f>
        <v>лаборатория (III), стены (защита +3)</v>
      </c>
      <c r="V33" s="15">
        <f ca="1">OFFSET(База!$O$2,D33,0)</f>
        <v>3125000</v>
      </c>
      <c r="W33" s="15" t="str">
        <f ca="1">"[br][b]"&amp;B33&amp;"[/b] (нас: "&amp;D33&amp;"; +"&amp;L33&amp;" "&amp;База!$L$2&amp;", +"&amp;M33&amp;" "&amp;База!$L$3&amp;", "&amp;TEXT(N33,"+#;-#;+0")&amp;" "&amp;База!$L$4&amp;")"&amp;IF(U33&lt;&gt;"",". Постройки: "&amp;U33&amp;".","")</f>
        <v>[br][b]Гоа[/b] (нас: 5; +0 Мл, +0 Мн, +3 ОН). Постройки: лаборатория (III), стены (защита +3).</v>
      </c>
      <c r="X33" s="15" t="str">
        <f t="shared" ca="1" si="19"/>
        <v>[li][b]Биау[/b] (нас: 3)[/li][li][b]Лондон[/b] (нас: 3)[/li][br]Всего население (примерно, с учетом агломераций): 25 250 000  человек.</v>
      </c>
      <c r="Y33" s="15" t="str">
        <f t="shared" si="5"/>
        <v>[br]Всего население (примерно, с учетом агломераций): 000  человек.</v>
      </c>
      <c r="Z33" s="15" t="str">
        <f t="shared" si="6"/>
        <v>[br]Всего население (примерно, с учетом агломераций): 000  человек.</v>
      </c>
      <c r="AA33" s="15" t="str">
        <f t="shared" ca="1" si="7"/>
        <v>[li][b]Мумбаи[/b] (нас: 1)[/li][br]Всего население (примерно, с учетом агломераций): 3 130 000  человек.</v>
      </c>
      <c r="AB33" s="15" t="str">
        <f t="shared" ca="1" si="8"/>
        <v>[li][b]Синь Далянь[/b] (нас: 4)[/li][li][b]Урумчи[/b] (нас: 1)[/li][br]Всего население (примерно, с учетом агломераций): 63 130 000  человек.</v>
      </c>
      <c r="AC33" s="15" t="str">
        <f t="shared" ca="1" si="9"/>
        <v>[li][b]Гоа[/b] (нас: 5)[/li][li][b]Манила[/b]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33" s="15" t="str">
        <f t="shared" ca="1" si="10"/>
        <v>[li][b]Ра-Кедет[/b] (нас: 3)[/li][li][b]Мемфис[/b] (нас: 1)[/li][br]Всего население (примерно, с учетом агломераций): 255 000  человек.</v>
      </c>
      <c r="AE33" s="15" t="str">
        <f t="shared" ca="1" si="11"/>
        <v>[br]Всего население (примерно, с учетом агломераций): 5 000  человек.</v>
      </c>
      <c r="AG33" s="15" t="str">
        <f t="shared" ca="1" si="20"/>
        <v>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33" s="15" t="str">
        <f t="shared" si="12"/>
        <v/>
      </c>
      <c r="AI33" s="15" t="str">
        <f t="shared" si="13"/>
        <v/>
      </c>
      <c r="AJ33" s="15" t="str">
        <f t="shared" ca="1" si="14"/>
        <v>[br][b]Мумбаи[/b] (нас: 1; +0 Мл, +0 Мн, +0 ОН)</v>
      </c>
      <c r="AK33" s="15" t="str">
        <f t="shared" ca="1" si="15"/>
        <v>[br][b]Синь Далянь[/b] (нас: 4; +3 Мл, +0 Мн, +3 ОН). Постройки: фабрика (III), лаборатория (III).[br][b]Урумчи[/b] (нас: 1; +0 Мл, +0 Мн, +0 ОН)</v>
      </c>
      <c r="AL33" s="15" t="str">
        <f t="shared" ca="1" si="16"/>
        <v>[br][b]Гоа[/b] (нас: 5; +0 Мл, +0 Мн, +3 ОН). Постройки: лаборатория (III), стены (защита +3).[br][b]Манила[/b]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3" s="15" t="str">
        <f t="shared" ca="1" si="17"/>
        <v>[br][b]Ра-Кедет[/b] (нас: 3; +0 Мл, +2 Мн, +3 ОН). Постройки: базар (II*), лаборатория (III).[br][b]Мемфис[/b] (нас: 1; +0 Мл, +0 Мн, +0 ОН)</v>
      </c>
      <c r="AN33" s="15" t="str">
        <f t="shared" si="18"/>
        <v/>
      </c>
      <c r="AP33" s="227" t="str">
        <f t="shared" si="21"/>
        <v>Индонезия</v>
      </c>
    </row>
    <row r="34" spans="1:42" x14ac:dyDescent="0.25">
      <c r="A34" s="15">
        <v>31</v>
      </c>
      <c r="B34" s="15" t="s">
        <v>456</v>
      </c>
      <c r="C34" s="15" t="s">
        <v>7</v>
      </c>
      <c r="D34" s="15">
        <v>5</v>
      </c>
      <c r="E34" s="15"/>
      <c r="F34" s="40"/>
      <c r="G34" s="40"/>
      <c r="H34" s="40">
        <v>1</v>
      </c>
      <c r="I34" s="40">
        <v>2</v>
      </c>
      <c r="J34" s="40">
        <v>1</v>
      </c>
      <c r="K34" s="15"/>
      <c r="L34" s="226">
        <f>IF($C34&lt;&gt;"",$E34*VLOOKUP(VLOOKUP(C34,Нации!B$3:E$10,4,0),База!B$30:H$38,7,0)+F34+VLOOKUP(VLOOKUP(C34,Нации!$B$3:$E$10,4,0),База!$B$30:$M$38,10,0),"")</f>
        <v>0</v>
      </c>
      <c r="M34" s="226">
        <f>IF($C34&lt;&gt;"",$E34*VLOOKUP(VLOOKUP(C34,Нации!B$3:E$10,4,0),База!B$30:H$38,7,0)+G34+VLOOKUP(VLOOKUP(C34,Нации!$B$3:$E$10,4,0),База!$B$30:$M$38,11,0),"")</f>
        <v>0</v>
      </c>
      <c r="N34" s="245">
        <f>IF($C34&lt;&gt;"",$E34*VLOOKUP(VLOOKUP(C34,Нации!B$3:E$10,4,0),База!B$30:H$38,7,0)+H34+VLOOKUP(VLOOKUP(C34,Нации!$B$3:$E$10,4,0),База!$B$30:$M$38,12,0)+IF(K34&lt;&gt;"",VLOOKUP(K34,Чудеса!A$2:J$99,10,0),0),"")</f>
        <v>1</v>
      </c>
      <c r="O34" s="15" t="str">
        <f>IF(E34,База!$C$26,"")</f>
        <v/>
      </c>
      <c r="P34" s="15" t="str">
        <f ca="1">O34&amp;IF(F34,IF(O34&lt;&gt;"",", ","")&amp;OFFSET(INDIRECT("База!$B$"&amp;P$2),0,F34)&amp;" ("&amp;ROMAN(F34)&amp;IF(F34&lt;HLOOKUP($C34,Наука!$D$1:$J$69,P$1),"*","")&amp;")","")</f>
        <v/>
      </c>
      <c r="Q34" s="15" t="str">
        <f ca="1">P34&amp;IF(G34,IF(P34&lt;&gt;"",", ","")&amp;OFFSET(INDIRECT("База!$B$"&amp;Q$2),0,G34)&amp;" ("&amp;ROMAN(G34)&amp;IF(G34&lt;HLOOKUP($C34,Наука!$D$1:$J$69,Q$1),"*","")&amp;")","")</f>
        <v/>
      </c>
      <c r="R34" s="15" t="str">
        <f ca="1">Q34&amp;IF(H34,IF(Q34&lt;&gt;"",", ","")&amp;OFFSET(INDIRECT("База!$B$"&amp;R$2),0,H34)&amp;" ("&amp;ROMAN(H34)&amp;IF(H34&lt;HLOOKUP($C34,Наука!$D$1:$J$69,R$1),"*","")&amp;")","")</f>
        <v>библиотека (I*)</v>
      </c>
      <c r="S34" s="15" t="str">
        <f ca="1">R34&amp;IF(I34,IF(R34&lt;&gt;"",", ","")&amp;OFFSET(INDIRECT("База!$B$"&amp;S$2),0,I34)&amp;" ("&amp;ROMAN(I34)&amp;IF(I34&lt;HLOOKUP($C34,Наука!$D$1:$J$69,S$1),"*","")&amp;")","")</f>
        <v>библиотека (I*), арсенал (II)</v>
      </c>
      <c r="T34" s="15" t="str">
        <f ca="1">S34&amp;IF(J34,IF(S34&lt;&gt;"",", ","")&amp;OFFSET(База!$B$25,0,J34)&amp;" (защита +3)","")</f>
        <v>библиотека (I*), арсенал (II), стены (защита +3)</v>
      </c>
      <c r="U34" s="15" t="str">
        <f ca="1">T34&amp;IF(K34&lt;&gt;"",IF(T34&lt;&gt;"",", ","")&amp;K34&amp;" (Чудо света"&amp;IF(VLOOKUP(K34,Чудеса!A:H,8,0),", "&amp;VLOOKUP(K34,Чудеса!A:G,7,0),"")&amp;")","")</f>
        <v>библиотека (I*), арсенал (II), стены (защита +3)</v>
      </c>
      <c r="V34" s="15">
        <f ca="1">OFFSET(База!$O$2,D34,0)</f>
        <v>3125000</v>
      </c>
      <c r="W34" s="15" t="str">
        <f ca="1">"[br][b]"&amp;B34&amp;"[/b] (нас: "&amp;D34&amp;"; +"&amp;L34&amp;" "&amp;База!$L$2&amp;", +"&amp;M34&amp;" "&amp;База!$L$3&amp;", "&amp;TEXT(N34,"+#;-#;+0")&amp;" "&amp;База!$L$4&amp;")"&amp;IF(U34&lt;&gt;"",". Постройки: "&amp;U34&amp;".","")</f>
        <v>[br][b]Манила[/b] (нас: 5; +0 Мл, +0 Мн, +1 ОН). Постройки: библиотека (I*), арсенал (II), стены (защита +3).</v>
      </c>
      <c r="X34" s="15" t="str">
        <f t="shared" ca="1" si="19"/>
        <v>[li][b]Биау[/b] (нас: 3)[/li][li][b]Лондон[/b] (нас: 3)[/li][br]Всего население (примерно, с учетом агломераций): 25 250 000  человек.</v>
      </c>
      <c r="Y34" s="15" t="str">
        <f t="shared" si="5"/>
        <v>[br]Всего население (примерно, с учетом агломераций): 000  человек.</v>
      </c>
      <c r="Z34" s="15" t="str">
        <f t="shared" si="6"/>
        <v>[br]Всего население (примерно, с учетом агломераций): 000  человек.</v>
      </c>
      <c r="AA34" s="15" t="str">
        <f t="shared" ca="1" si="7"/>
        <v>[li][b]Мумбаи[/b] (нас: 1)[/li][br]Всего население (примерно, с учетом агломераций): 3 130 000  человек.</v>
      </c>
      <c r="AB34" s="15" t="str">
        <f t="shared" ca="1" si="8"/>
        <v>[li][b]Синь Далянь[/b] (нас: 4)[/li][li][b]Урумчи[/b] (нас: 1)[/li][br]Всего население (примерно, с учетом агломераций): 63 130 000  человек.</v>
      </c>
      <c r="AC34" s="15" t="str">
        <f t="shared" ca="1" si="9"/>
        <v>[li][b]Манила[/b] (нас: 5)[/li][li][b]Опус Деи[/b] (нас: 4)[/li][li][b]Киото[/b] (нас: 5)[/li][li][b]Брум[/b] (нас: 2)[/li][br]Всего население (примерно, с учетом агломераций): 16 400 000  человек.</v>
      </c>
      <c r="AD34" s="15" t="str">
        <f t="shared" ca="1" si="10"/>
        <v>[li][b]Ра-Кедет[/b] (нас: 3)[/li][li][b]Мемфис[/b] (нас: 1)[/li][br]Всего население (примерно, с учетом агломераций): 255 000  человек.</v>
      </c>
      <c r="AE34" s="15" t="str">
        <f t="shared" ca="1" si="11"/>
        <v>[br]Всего население (примерно, с учетом агломераций): 5 000  человек.</v>
      </c>
      <c r="AG34" s="15" t="str">
        <f t="shared" ca="1" si="20"/>
        <v>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34" s="15" t="str">
        <f t="shared" si="12"/>
        <v/>
      </c>
      <c r="AI34" s="15" t="str">
        <f t="shared" si="13"/>
        <v/>
      </c>
      <c r="AJ34" s="15" t="str">
        <f t="shared" ca="1" si="14"/>
        <v>[br][b]Мумбаи[/b] (нас: 1; +0 Мл, +0 Мн, +0 ОН)</v>
      </c>
      <c r="AK34" s="15" t="str">
        <f t="shared" ca="1" si="15"/>
        <v>[br][b]Синь Далянь[/b] (нас: 4; +3 Мл, +0 Мн, +3 ОН). Постройки: фабрика (III), лаборатория (III).[br][b]Урумчи[/b] (нас: 1; +0 Мл, +0 Мн, +0 ОН)</v>
      </c>
      <c r="AL34" s="15" t="str">
        <f t="shared" ca="1" si="16"/>
        <v>[br][b]Манила[/b] (нас: 5; +0 Мл, +0 Мн, +1 ОН). Постройки: библиотека (I*), арсенал (II), стены (защита +3).[br][b]Опус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4" s="15" t="str">
        <f t="shared" ca="1" si="17"/>
        <v>[br][b]Ра-Кедет[/b] (нас: 3; +0 Мл, +2 Мн, +3 ОН). Постройки: базар (II*), лаборатория (III).[br][b]Мемфис[/b] (нас: 1; +0 Мл, +0 Мн, +0 ОН)</v>
      </c>
      <c r="AN34" s="15" t="str">
        <f t="shared" si="18"/>
        <v/>
      </c>
      <c r="AP34" s="227" t="str">
        <f t="shared" si="21"/>
        <v>Индонезия</v>
      </c>
    </row>
    <row r="35" spans="1:42" x14ac:dyDescent="0.25">
      <c r="A35" s="15">
        <v>32</v>
      </c>
      <c r="B35" s="15" t="s">
        <v>458</v>
      </c>
      <c r="C35" s="15"/>
      <c r="D35" s="15">
        <v>5</v>
      </c>
      <c r="E35" s="15"/>
      <c r="F35" s="40">
        <v>2</v>
      </c>
      <c r="G35" s="40"/>
      <c r="H35" s="40">
        <v>3</v>
      </c>
      <c r="I35" s="40"/>
      <c r="J35" s="40"/>
      <c r="K35" s="15"/>
      <c r="L35" s="226" t="str">
        <f>IF($C35&lt;&gt;"",$E35*VLOOKUP(VLOOKUP(C35,Нации!B$3:E$10,4,0),База!B$30:H$38,7,0)+F35+VLOOKUP(VLOOKUP(C35,Нации!$B$3:$E$10,4,0),База!$B$30:$M$38,10,0),"")</f>
        <v/>
      </c>
      <c r="M35" s="226" t="str">
        <f>IF($C35&lt;&gt;"",$E35*VLOOKUP(VLOOKUP(C35,Нации!B$3:E$10,4,0),База!B$30:H$38,7,0)+G35+VLOOKUP(VLOOKUP(C35,Нации!$B$3:$E$10,4,0),База!$B$30:$M$38,11,0),"")</f>
        <v/>
      </c>
      <c r="N35" s="245" t="str">
        <f>IF($C35&lt;&gt;"",$E35*VLOOKUP(VLOOKUP(C35,Нации!B$3:E$10,4,0),База!B$30:H$38,7,0)+H35+VLOOKUP(VLOOKUP(C35,Нации!$B$3:$E$10,4,0),База!$B$30:$M$38,12,0)+IF(K35&lt;&gt;"",VLOOKUP(K35,Чудеса!A$2:J$99,10,0),0),"")</f>
        <v/>
      </c>
      <c r="O35" s="15" t="str">
        <f>IF(E35,База!$C$26,"")</f>
        <v/>
      </c>
      <c r="P35" s="15" t="e">
        <f ca="1">O35&amp;IF(F35,IF(O35&lt;&gt;"",", ","")&amp;OFFSET(INDIRECT("База!$B$"&amp;P$2),0,F35)&amp;" ("&amp;ROMAN(F35)&amp;IF(F35&lt;HLOOKUP($C35,Наука!$D$1:$J$69,P$1),"*","")&amp;")","")</f>
        <v>#N/A</v>
      </c>
      <c r="Q35" s="15" t="e">
        <f ca="1">P35&amp;IF(G35,IF(P35&lt;&gt;"",", ","")&amp;OFFSET(INDIRECT("База!$B$"&amp;Q$2),0,G35)&amp;" ("&amp;ROMAN(G35)&amp;IF(G35&lt;HLOOKUP($C35,Наука!$D$1:$J$69,Q$1),"*","")&amp;")","")</f>
        <v>#N/A</v>
      </c>
      <c r="R35" s="15" t="e">
        <f ca="1">Q35&amp;IF(H35,IF(Q35&lt;&gt;"",", ","")&amp;OFFSET(INDIRECT("База!$B$"&amp;R$2),0,H35)&amp;" ("&amp;ROMAN(H35)&amp;IF(H35&lt;HLOOKUP($C35,Наука!$D$1:$J$69,R$1),"*","")&amp;")","")</f>
        <v>#N/A</v>
      </c>
      <c r="S35" s="15" t="e">
        <f ca="1">R35&amp;IF(I35,IF(R35&lt;&gt;"",", ","")&amp;OFFSET(INDIRECT("База!$B$"&amp;S$2),0,I35)&amp;" ("&amp;ROMAN(I35)&amp;IF(I35&lt;HLOOKUP($C35,Наука!$D$1:$J$69,S$1),"*","")&amp;")","")</f>
        <v>#N/A</v>
      </c>
      <c r="T35" s="15" t="e">
        <f ca="1">S35&amp;IF(J35,IF(S35&lt;&gt;"",", ","")&amp;OFFSET(База!$B$25,0,J35)&amp;" (защита +3)","")</f>
        <v>#N/A</v>
      </c>
      <c r="U35" s="15" t="e">
        <f ca="1">T35&amp;IF(K35&lt;&gt;"",IF(T35&lt;&gt;"",", ","")&amp;K35&amp;" (Чудо света"&amp;IF(VLOOKUP(K35,Чудеса!A:H,8,0),", "&amp;VLOOKUP(K35,Чудеса!A:G,7,0),"")&amp;")","")</f>
        <v>#N/A</v>
      </c>
      <c r="V35" s="15">
        <f ca="1">OFFSET(База!$O$2,D35,0)</f>
        <v>3125000</v>
      </c>
      <c r="W35" s="15" t="e">
        <f ca="1">"[br][b]"&amp;B35&amp;"[/b] (нас: "&amp;D35&amp;"; +"&amp;L35&amp;" "&amp;База!$L$2&amp;", +"&amp;M35&amp;" "&amp;База!$L$3&amp;", "&amp;TEXT(N35,"+#;-#;+0")&amp;" "&amp;База!$L$4&amp;")"&amp;IF(U35&lt;&gt;"",". Постройки: "&amp;U35&amp;".","")</f>
        <v>#N/A</v>
      </c>
      <c r="X35" s="15" t="str">
        <f t="shared" ca="1" si="19"/>
        <v>[li][b]Биау[/b] (нас: 3)[/li][li][b]Лондон[/b] (нас: 3)[/li][br]Всего население (примерно, с учетом агломераций): 25 250 000  человек.</v>
      </c>
      <c r="Y35" s="15" t="str">
        <f t="shared" si="5"/>
        <v>[br]Всего население (примерно, с учетом агломераций): 000  человек.</v>
      </c>
      <c r="Z35" s="15" t="str">
        <f t="shared" si="6"/>
        <v>[br]Всего население (примерно, с учетом агломераций): 000  человек.</v>
      </c>
      <c r="AA35" s="15" t="str">
        <f t="shared" ca="1" si="7"/>
        <v>[li][b]Мумбаи[/b] (нас: 1)[/li][br]Всего население (примерно, с учетом агломераций): 3 130 000  человек.</v>
      </c>
      <c r="AB35" s="15" t="str">
        <f t="shared" ca="1" si="8"/>
        <v>[li][b]Синь Далянь[/b] (нас: 4)[/li][li][b]Урумчи[/b] (нас: 1)[/li][br]Всего население (примерно, с учетом агломераций): 63 130 000  человек.</v>
      </c>
      <c r="AC35" s="15" t="str">
        <f t="shared" ca="1" si="9"/>
        <v>[li][b]Опус Деи[/b] (нас: 4)[/li][li][b]Киото[/b] (нас: 5)[/li][li][b]Брум[/b] (нас: 2)[/li][br]Всего население (примерно, с учетом агломераций): 16 400 000  человек.</v>
      </c>
      <c r="AD35" s="15" t="str">
        <f t="shared" ca="1" si="10"/>
        <v>[li][b]Ра-Кедет[/b] (нас: 3)[/li][li][b]Мемфис[/b] (нас: 1)[/li][br]Всего население (примерно, с учетом агломераций): 255 000  человек.</v>
      </c>
      <c r="AE35" s="15" t="str">
        <f t="shared" ca="1" si="11"/>
        <v>[br]Всего население (примерно, с учетом агломераций): 5 000  человек.</v>
      </c>
      <c r="AG35" s="15" t="str">
        <f t="shared" ca="1" si="20"/>
        <v>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35" s="15" t="str">
        <f t="shared" si="12"/>
        <v/>
      </c>
      <c r="AI35" s="15" t="str">
        <f t="shared" si="13"/>
        <v/>
      </c>
      <c r="AJ35" s="15" t="str">
        <f t="shared" ca="1" si="14"/>
        <v>[br][b]Мумбаи[/b] (нас: 1; +0 Мл, +0 Мн, +0 ОН)</v>
      </c>
      <c r="AK35" s="15" t="str">
        <f t="shared" ca="1" si="15"/>
        <v>[br][b]Синь Далянь[/b] (нас: 4; +3 Мл, +0 Мн, +3 ОН). Постройки: фабрика (III), лаборатория (III).[br][b]Урумчи[/b] (нас: 1; +0 Мл, +0 Мн, +0 ОН)</v>
      </c>
      <c r="AL35" s="15" t="str">
        <f t="shared" ca="1" si="16"/>
        <v>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5" s="15" t="str">
        <f t="shared" ca="1" si="17"/>
        <v>[br][b]Ра-Кедет[/b] (нас: 3; +0 Мл, +2 Мн, +3 ОН). Постройки: базар (II*), лаборатория (III).[br][b]Мемфис[/b] (нас: 1; +0 Мл, +0 Мн, +0 ОН)</v>
      </c>
      <c r="AN35" s="15" t="str">
        <f t="shared" si="18"/>
        <v/>
      </c>
      <c r="AP35" s="227">
        <f t="shared" si="21"/>
        <v>0</v>
      </c>
    </row>
    <row r="36" spans="1:42" x14ac:dyDescent="0.25">
      <c r="A36" s="15">
        <v>33</v>
      </c>
      <c r="B36" s="15" t="s">
        <v>464</v>
      </c>
      <c r="C36" s="15"/>
      <c r="D36" s="15">
        <v>5</v>
      </c>
      <c r="E36" s="15"/>
      <c r="F36" s="40">
        <v>2</v>
      </c>
      <c r="G36" s="40"/>
      <c r="H36" s="40">
        <v>3</v>
      </c>
      <c r="I36" s="40"/>
      <c r="J36" s="40"/>
      <c r="K36" s="15"/>
      <c r="L36" s="226" t="str">
        <f>IF($C36&lt;&gt;"",$E36*VLOOKUP(VLOOKUP(C36,Нации!B$3:E$10,4,0),База!B$30:H$38,7,0)+F36+VLOOKUP(VLOOKUP(C36,Нации!$B$3:$E$10,4,0),База!$B$30:$M$38,10,0),"")</f>
        <v/>
      </c>
      <c r="M36" s="226" t="str">
        <f>IF($C36&lt;&gt;"",$E36*VLOOKUP(VLOOKUP(C36,Нации!B$3:E$10,4,0),База!B$30:H$38,7,0)+G36+VLOOKUP(VLOOKUP(C36,Нации!$B$3:$E$10,4,0),База!$B$30:$M$38,11,0),"")</f>
        <v/>
      </c>
      <c r="N36" s="245" t="str">
        <f>IF($C36&lt;&gt;"",$E36*VLOOKUP(VLOOKUP(C36,Нации!B$3:E$10,4,0),База!B$30:H$38,7,0)+H36+VLOOKUP(VLOOKUP(C36,Нации!$B$3:$E$10,4,0),База!$B$30:$M$38,12,0)+IF(K36&lt;&gt;"",VLOOKUP(K36,Чудеса!A$2:J$99,10,0),0),"")</f>
        <v/>
      </c>
      <c r="O36" s="15" t="str">
        <f>IF(E36,База!$C$26,"")</f>
        <v/>
      </c>
      <c r="P36" s="15" t="e">
        <f ca="1">O36&amp;IF(F36,IF(O36&lt;&gt;"",", ","")&amp;OFFSET(INDIRECT("База!$B$"&amp;P$2),0,F36)&amp;" ("&amp;ROMAN(F36)&amp;IF(F36&lt;HLOOKUP($C36,Наука!$D$1:$J$69,P$1),"*","")&amp;")","")</f>
        <v>#N/A</v>
      </c>
      <c r="Q36" s="15" t="e">
        <f ca="1">P36&amp;IF(G36,IF(P36&lt;&gt;"",", ","")&amp;OFFSET(INDIRECT("База!$B$"&amp;Q$2),0,G36)&amp;" ("&amp;ROMAN(G36)&amp;IF(G36&lt;HLOOKUP($C36,Наука!$D$1:$J$69,Q$1),"*","")&amp;")","")</f>
        <v>#N/A</v>
      </c>
      <c r="R36" s="15" t="e">
        <f ca="1">Q36&amp;IF(H36,IF(Q36&lt;&gt;"",", ","")&amp;OFFSET(INDIRECT("База!$B$"&amp;R$2),0,H36)&amp;" ("&amp;ROMAN(H36)&amp;IF(H36&lt;HLOOKUP($C36,Наука!$D$1:$J$69,R$1),"*","")&amp;")","")</f>
        <v>#N/A</v>
      </c>
      <c r="S36" s="15" t="e">
        <f ca="1">R36&amp;IF(I36,IF(R36&lt;&gt;"",", ","")&amp;OFFSET(INDIRECT("База!$B$"&amp;S$2),0,I36)&amp;" ("&amp;ROMAN(I36)&amp;IF(I36&lt;HLOOKUP($C36,Наука!$D$1:$J$69,S$1),"*","")&amp;")","")</f>
        <v>#N/A</v>
      </c>
      <c r="T36" s="15" t="e">
        <f ca="1">S36&amp;IF(J36,IF(S36&lt;&gt;"",", ","")&amp;OFFSET(База!$B$25,0,J36)&amp;" (защита +3)","")</f>
        <v>#N/A</v>
      </c>
      <c r="U36" s="15" t="e">
        <f ca="1">T36&amp;IF(K36&lt;&gt;"",IF(T36&lt;&gt;"",", ","")&amp;K36&amp;" (Чудо света"&amp;IF(VLOOKUP(K36,Чудеса!A:H,8,0),", "&amp;VLOOKUP(K36,Чудеса!A:G,7,0),"")&amp;")","")</f>
        <v>#N/A</v>
      </c>
      <c r="V36" s="15">
        <f ca="1">OFFSET(База!$O$2,D36,0)</f>
        <v>3125000</v>
      </c>
      <c r="W36" s="15" t="e">
        <f ca="1">"[br][b]"&amp;B36&amp;"[/b] (нас: "&amp;D36&amp;"; +"&amp;L36&amp;" "&amp;База!$L$2&amp;", +"&amp;M36&amp;" "&amp;База!$L$3&amp;", "&amp;TEXT(N36,"+#;-#;+0")&amp;" "&amp;База!$L$4&amp;")"&amp;IF(U36&lt;&gt;"",". Постройки: "&amp;U36&amp;".","")</f>
        <v>#N/A</v>
      </c>
      <c r="X36" s="15" t="str">
        <f t="shared" ca="1" si="19"/>
        <v>[li][b]Биау[/b] (нас: 3)[/li][li][b]Лондон[/b] (нас: 3)[/li][br]Всего население (примерно, с учетом агломераций): 25 250 000  человек.</v>
      </c>
      <c r="Y36" s="15" t="str">
        <f t="shared" si="5"/>
        <v>[br]Всего население (примерно, с учетом агломераций): 000  человек.</v>
      </c>
      <c r="Z36" s="15" t="str">
        <f t="shared" si="6"/>
        <v>[br]Всего население (примерно, с учетом агломераций): 000  человек.</v>
      </c>
      <c r="AA36" s="15" t="str">
        <f t="shared" ca="1" si="7"/>
        <v>[li][b]Мумбаи[/b] (нас: 1)[/li][br]Всего население (примерно, с учетом агломераций): 3 130 000  человек.</v>
      </c>
      <c r="AB36" s="15" t="str">
        <f t="shared" ca="1" si="8"/>
        <v>[li][b]Синь Далянь[/b] (нас: 4)[/li][li][b]Урумчи[/b] (нас: 1)[/li][br]Всего население (примерно, с учетом агломераций): 63 130 000  человек.</v>
      </c>
      <c r="AC36" s="15" t="str">
        <f t="shared" ca="1" si="9"/>
        <v>[li][b]Опус Деи[/b] (нас: 4)[/li][li][b]Киото[/b] (нас: 5)[/li][li][b]Брум[/b] (нас: 2)[/li][br]Всего население (примерно, с учетом агломераций): 16 400 000  человек.</v>
      </c>
      <c r="AD36" s="15" t="str">
        <f t="shared" ca="1" si="10"/>
        <v>[li][b]Ра-Кедет[/b] (нас: 3)[/li][li][b]Мемфис[/b] (нас: 1)[/li][br]Всего население (примерно, с учетом агломераций): 255 000  человек.</v>
      </c>
      <c r="AE36" s="15" t="str">
        <f t="shared" ca="1" si="11"/>
        <v>[br]Всего население (примерно, с учетом агломераций): 5 000  человек.</v>
      </c>
      <c r="AG36" s="15" t="str">
        <f t="shared" ca="1" si="20"/>
        <v>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36" s="15" t="str">
        <f t="shared" si="12"/>
        <v/>
      </c>
      <c r="AI36" s="15" t="str">
        <f t="shared" si="13"/>
        <v/>
      </c>
      <c r="AJ36" s="15" t="str">
        <f t="shared" ca="1" si="14"/>
        <v>[br][b]Мумбаи[/b] (нас: 1; +0 Мл, +0 Мн, +0 ОН)</v>
      </c>
      <c r="AK36" s="15" t="str">
        <f t="shared" ca="1" si="15"/>
        <v>[br][b]Синь Далянь[/b] (нас: 4; +3 Мл, +0 Мн, +3 ОН). Постройки: фабрика (III), лаборатория (III).[br][b]Урумчи[/b] (нас: 1; +0 Мл, +0 Мн, +0 ОН)</v>
      </c>
      <c r="AL36" s="15" t="str">
        <f t="shared" ca="1" si="16"/>
        <v>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6" s="15" t="str">
        <f t="shared" ca="1" si="17"/>
        <v>[br][b]Ра-Кедет[/b] (нас: 3; +0 Мл, +2 Мн, +3 ОН). Постройки: базар (II*), лаборатория (III).[br][b]Мемфис[/b] (нас: 1; +0 Мл, +0 Мн, +0 ОН)</v>
      </c>
      <c r="AN36" s="15" t="str">
        <f t="shared" si="18"/>
        <v/>
      </c>
      <c r="AP36" s="227">
        <f t="shared" si="21"/>
        <v>0</v>
      </c>
    </row>
    <row r="37" spans="1:42" x14ac:dyDescent="0.25">
      <c r="A37" s="15">
        <v>34</v>
      </c>
      <c r="B37" s="15" t="s">
        <v>465</v>
      </c>
      <c r="C37" s="15" t="s">
        <v>2</v>
      </c>
      <c r="D37" s="15">
        <v>3</v>
      </c>
      <c r="E37" s="15"/>
      <c r="F37" s="40"/>
      <c r="G37" s="40"/>
      <c r="H37" s="40">
        <v>3</v>
      </c>
      <c r="I37" s="40"/>
      <c r="J37" s="40">
        <v>1</v>
      </c>
      <c r="K37" s="15"/>
      <c r="L37" s="226">
        <f>IF($C37&lt;&gt;"",$E37*VLOOKUP(VLOOKUP(C37,Нации!B$3:E$10,4,0),База!B$30:H$38,7,0)+F37+VLOOKUP(VLOOKUP(C37,Нации!$B$3:$E$10,4,0),База!$B$30:$M$38,10,0),"")</f>
        <v>0</v>
      </c>
      <c r="M37" s="226">
        <f>IF($C37&lt;&gt;"",$E37*VLOOKUP(VLOOKUP(C37,Нации!B$3:E$10,4,0),База!B$30:H$38,7,0)+G37+VLOOKUP(VLOOKUP(C37,Нации!$B$3:$E$10,4,0),База!$B$30:$M$38,11,0),"")</f>
        <v>0</v>
      </c>
      <c r="N37" s="245">
        <f>IF($C37&lt;&gt;"",$E37*VLOOKUP(VLOOKUP(C37,Нации!B$3:E$10,4,0),База!B$30:H$38,7,0)+H37+VLOOKUP(VLOOKUP(C37,Нации!$B$3:$E$10,4,0),База!$B$30:$M$38,12,0)+IF(K37&lt;&gt;"",VLOOKUP(K37,Чудеса!A$2:J$99,10,0),0),"")</f>
        <v>3</v>
      </c>
      <c r="O37" s="15" t="str">
        <f>IF(E37,База!$C$26,"")</f>
        <v/>
      </c>
      <c r="P37" s="15" t="str">
        <f ca="1">O37&amp;IF(F37,IF(O37&lt;&gt;"",", ","")&amp;OFFSET(INDIRECT("База!$B$"&amp;P$2),0,F37)&amp;" ("&amp;ROMAN(F37)&amp;IF(F37&lt;HLOOKUP($C37,Наука!$D$1:$J$69,P$1),"*","")&amp;")","")</f>
        <v/>
      </c>
      <c r="Q37" s="15" t="str">
        <f ca="1">P37&amp;IF(G37,IF(P37&lt;&gt;"",", ","")&amp;OFFSET(INDIRECT("База!$B$"&amp;Q$2),0,G37)&amp;" ("&amp;ROMAN(G37)&amp;IF(G37&lt;HLOOKUP($C37,Наука!$D$1:$J$69,Q$1),"*","")&amp;")","")</f>
        <v/>
      </c>
      <c r="R37" s="15" t="str">
        <f ca="1">Q37&amp;IF(H37,IF(Q37&lt;&gt;"",", ","")&amp;OFFSET(INDIRECT("База!$B$"&amp;R$2),0,H37)&amp;" ("&amp;ROMAN(H37)&amp;IF(H37&lt;HLOOKUP($C37,Наука!$D$1:$J$69,R$1),"*","")&amp;")","")</f>
        <v>лаборатория (III)</v>
      </c>
      <c r="S37" s="15" t="str">
        <f ca="1">R37&amp;IF(I37,IF(R37&lt;&gt;"",", ","")&amp;OFFSET(INDIRECT("База!$B$"&amp;S$2),0,I37)&amp;" ("&amp;ROMAN(I37)&amp;IF(I37&lt;HLOOKUP($C37,Наука!$D$1:$J$69,S$1),"*","")&amp;")","")</f>
        <v>лаборатория (III)</v>
      </c>
      <c r="T37" s="15" t="str">
        <f ca="1">S37&amp;IF(J37,IF(S37&lt;&gt;"",", ","")&amp;OFFSET(База!$B$25,0,J37)&amp;" (защита +3)","")</f>
        <v>лаборатория (III), стены (защита +3)</v>
      </c>
      <c r="U37" s="15" t="str">
        <f ca="1">T37&amp;IF(K37&lt;&gt;"",IF(T37&lt;&gt;"",", ","")&amp;K37&amp;" (Чудо света"&amp;IF(VLOOKUP(K37,Чудеса!A:H,8,0),", "&amp;VLOOKUP(K37,Чудеса!A:G,7,0),"")&amp;")","")</f>
        <v>лаборатория (III), стены (защита +3)</v>
      </c>
      <c r="V37" s="15">
        <f ca="1">OFFSET(База!$O$2,D37,0)</f>
        <v>125000</v>
      </c>
      <c r="W37" s="15" t="str">
        <f ca="1">"[br][b]"&amp;B37&amp;"[/b] (нас: "&amp;D37&amp;"; +"&amp;L37&amp;" "&amp;База!$L$2&amp;", +"&amp;M37&amp;" "&amp;База!$L$3&amp;", "&amp;TEXT(N37,"+#;-#;+0")&amp;" "&amp;База!$L$4&amp;")"&amp;IF(U37&lt;&gt;"",". Постройки: "&amp;U37&amp;".","")</f>
        <v>[br][b]Биау[/b] (нас: 3; +0 Мл, +0 Мн, +3 ОН). Постройки: лаборатория (III), стены (защита +3).</v>
      </c>
      <c r="X37" s="15" t="str">
        <f t="shared" ca="1" si="19"/>
        <v>[li][b]Биау[/b] (нас: 3)[/li][li][b]Лондон[/b] (нас: 3)[/li][br]Всего население (примерно, с учетом агломераций): 25 250 000  человек.</v>
      </c>
      <c r="Y37" s="15" t="str">
        <f t="shared" si="5"/>
        <v>[br]Всего население (примерно, с учетом агломераций): 000  человек.</v>
      </c>
      <c r="Z37" s="15" t="str">
        <f t="shared" si="6"/>
        <v>[br]Всего население (примерно, с учетом агломераций): 000  человек.</v>
      </c>
      <c r="AA37" s="15" t="str">
        <f t="shared" ca="1" si="7"/>
        <v>[li][b]Мумбаи[/b] (нас: 1)[/li][br]Всего население (примерно, с учетом агломераций): 3 130 000  человек.</v>
      </c>
      <c r="AB37" s="15" t="str">
        <f t="shared" ca="1" si="8"/>
        <v>[li][b]Синь Далянь[/b] (нас: 4)[/li][li][b]Урумчи[/b] (нас: 1)[/li][br]Всего население (примерно, с учетом агломераций): 63 130 000  человек.</v>
      </c>
      <c r="AC37" s="15" t="str">
        <f t="shared" ca="1" si="9"/>
        <v>[li][b]Опус Деи[/b] (нас: 4)[/li][li][b]Киото[/b] (нас: 5)[/li][li][b]Брум[/b] (нас: 2)[/li][br]Всего население (примерно, с учетом агломераций): 16 400 000  человек.</v>
      </c>
      <c r="AD37" s="15" t="str">
        <f t="shared" ca="1" si="10"/>
        <v>[li][b]Ра-Кедет[/b] (нас: 3)[/li][li][b]Мемфис[/b] (нас: 1)[/li][br]Всего население (примерно, с учетом агломераций): 255 000  человек.</v>
      </c>
      <c r="AE37" s="15" t="str">
        <f t="shared" ca="1" si="11"/>
        <v>[br]Всего население (примерно, с учетом агломераций): 5 000  человек.</v>
      </c>
      <c r="AG37" s="15" t="str">
        <f t="shared" ca="1" si="20"/>
        <v>[br][b]Биау[/b] (нас: 3; +0 Мл, +0 Мн, +3 ОН). Постройки: лаборатория (III), стены (защита +3).[br][b]Лондон[/b] (нас: 3; +0 Мл, +0 Мн, +3 ОН). Постройки: лаборатория (III), стены (защита +3).</v>
      </c>
      <c r="AH37" s="15" t="str">
        <f t="shared" si="12"/>
        <v/>
      </c>
      <c r="AI37" s="15" t="str">
        <f t="shared" si="13"/>
        <v/>
      </c>
      <c r="AJ37" s="15" t="str">
        <f t="shared" ca="1" si="14"/>
        <v>[br][b]Мумбаи[/b] (нас: 1; +0 Мл, +0 Мн, +0 ОН)</v>
      </c>
      <c r="AK37" s="15" t="str">
        <f t="shared" ca="1" si="15"/>
        <v>[br][b]Синь Далянь[/b] (нас: 4; +3 Мл, +0 Мн, +3 ОН). Постройки: фабрика (III), лаборатория (III).[br][b]Урумчи[/b] (нас: 1; +0 Мл, +0 Мн, +0 ОН)</v>
      </c>
      <c r="AL37" s="15" t="str">
        <f t="shared" ca="1" si="16"/>
        <v>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7" s="15" t="str">
        <f t="shared" ca="1" si="17"/>
        <v>[br][b]Ра-Кедет[/b] (нас: 3; +0 Мл, +2 Мн, +3 ОН). Постройки: базар (II*), лаборатория (III).[br][b]Мемфис[/b] (нас: 1; +0 Мл, +0 Мн, +0 ОН)</v>
      </c>
      <c r="AN37" s="15" t="str">
        <f t="shared" si="18"/>
        <v/>
      </c>
      <c r="AP37" s="227" t="str">
        <f t="shared" si="21"/>
        <v>Русь</v>
      </c>
    </row>
    <row r="38" spans="1:42" x14ac:dyDescent="0.25">
      <c r="A38" s="15">
        <v>35</v>
      </c>
      <c r="B38" s="15" t="s">
        <v>468</v>
      </c>
      <c r="C38" s="15" t="s">
        <v>7</v>
      </c>
      <c r="D38" s="15">
        <v>4</v>
      </c>
      <c r="E38" s="15"/>
      <c r="F38" s="40"/>
      <c r="G38" s="40"/>
      <c r="H38" s="40"/>
      <c r="I38" s="40">
        <v>2</v>
      </c>
      <c r="J38" s="40">
        <v>1</v>
      </c>
      <c r="K38" s="15"/>
      <c r="L38" s="226">
        <f>IF($C38&lt;&gt;"",$E38*VLOOKUP(VLOOKUP(C38,Нации!B$3:E$10,4,0),База!B$30:H$38,7,0)+F38+VLOOKUP(VLOOKUP(C38,Нации!$B$3:$E$10,4,0),База!$B$30:$M$38,10,0),"")</f>
        <v>0</v>
      </c>
      <c r="M38" s="226">
        <f>IF($C38&lt;&gt;"",$E38*VLOOKUP(VLOOKUP(C38,Нации!B$3:E$10,4,0),База!B$30:H$38,7,0)+G38+VLOOKUP(VLOOKUP(C38,Нации!$B$3:$E$10,4,0),База!$B$30:$M$38,11,0),"")</f>
        <v>0</v>
      </c>
      <c r="N38" s="245">
        <f>IF($C38&lt;&gt;"",$E38*VLOOKUP(VLOOKUP(C38,Нации!B$3:E$10,4,0),База!B$30:H$38,7,0)+H38+VLOOKUP(VLOOKUP(C38,Нации!$B$3:$E$10,4,0),База!$B$30:$M$38,12,0)+IF(K38&lt;&gt;"",VLOOKUP(K38,Чудеса!A$2:J$99,10,0),0),"")</f>
        <v>0</v>
      </c>
      <c r="O38" s="15" t="str">
        <f>IF(E38,База!$C$26,"")</f>
        <v/>
      </c>
      <c r="P38" s="15" t="str">
        <f ca="1">O38&amp;IF(F38,IF(O38&lt;&gt;"",", ","")&amp;OFFSET(INDIRECT("База!$B$"&amp;P$2),0,F38)&amp;" ("&amp;ROMAN(F38)&amp;IF(F38&lt;HLOOKUP($C38,Наука!$D$1:$J$69,P$1),"*","")&amp;")","")</f>
        <v/>
      </c>
      <c r="Q38" s="15" t="str">
        <f ca="1">P38&amp;IF(G38,IF(P38&lt;&gt;"",", ","")&amp;OFFSET(INDIRECT("База!$B$"&amp;Q$2),0,G38)&amp;" ("&amp;ROMAN(G38)&amp;IF(G38&lt;HLOOKUP($C38,Наука!$D$1:$J$69,Q$1),"*","")&amp;")","")</f>
        <v/>
      </c>
      <c r="R38" s="15" t="str">
        <f ca="1">Q38&amp;IF(H38,IF(Q38&lt;&gt;"",", ","")&amp;OFFSET(INDIRECT("База!$B$"&amp;R$2),0,H38)&amp;" ("&amp;ROMAN(H38)&amp;IF(H38&lt;HLOOKUP($C38,Наука!$D$1:$J$69,R$1),"*","")&amp;")","")</f>
        <v/>
      </c>
      <c r="S38" s="15" t="str">
        <f ca="1">R38&amp;IF(I38,IF(R38&lt;&gt;"",", ","")&amp;OFFSET(INDIRECT("База!$B$"&amp;S$2),0,I38)&amp;" ("&amp;ROMAN(I38)&amp;IF(I38&lt;HLOOKUP($C38,Наука!$D$1:$J$69,S$1),"*","")&amp;")","")</f>
        <v>арсенал (II)</v>
      </c>
      <c r="T38" s="15" t="str">
        <f ca="1">S38&amp;IF(J38,IF(S38&lt;&gt;"",", ","")&amp;OFFSET(База!$B$25,0,J38)&amp;" (защита +3)","")</f>
        <v>арсенал (II), стены (защита +3)</v>
      </c>
      <c r="U38" s="15" t="str">
        <f ca="1">T38&amp;IF(K38&lt;&gt;"",IF(T38&lt;&gt;"",", ","")&amp;K38&amp;" (Чудо света"&amp;IF(VLOOKUP(K38,Чудеса!A:H,8,0),", "&amp;VLOOKUP(K38,Чудеса!A:G,7,0),"")&amp;")","")</f>
        <v>арсенал (II), стены (защита +3)</v>
      </c>
      <c r="V38" s="15">
        <f ca="1">OFFSET(База!$O$2,D38,0)</f>
        <v>625000</v>
      </c>
      <c r="W38" s="15" t="str">
        <f ca="1">"[br][b]"&amp;B38&amp;"[/b] (нас: "&amp;D38&amp;"; +"&amp;L38&amp;" "&amp;База!$L$2&amp;", +"&amp;M38&amp;" "&amp;База!$L$3&amp;", "&amp;TEXT(N38,"+#;-#;+0")&amp;" "&amp;База!$L$4&amp;")"&amp;IF(U38&lt;&gt;"",". Постройки: "&amp;U38&amp;".","")</f>
        <v>[br][b]Опус Деи[/b] (нас: 4; +0 Мл, +0 Мн, +0 ОН). Постройки: арсенал (II), стены (защита +3).</v>
      </c>
      <c r="X38" s="15" t="str">
        <f t="shared" ca="1" si="19"/>
        <v>[li][b]Лондон[/b] (нас: 3)[/li][br]Всего население (примерно, с учетом агломераций): 25 250 000  человек.</v>
      </c>
      <c r="Y38" s="15" t="str">
        <f t="shared" si="5"/>
        <v>[br]Всего население (примерно, с учетом агломераций): 000  человек.</v>
      </c>
      <c r="Z38" s="15" t="str">
        <f t="shared" si="6"/>
        <v>[br]Всего население (примерно, с учетом агломераций): 000  человек.</v>
      </c>
      <c r="AA38" s="15" t="str">
        <f t="shared" ca="1" si="7"/>
        <v>[li][b]Мумбаи[/b] (нас: 1)[/li][br]Всего население (примерно, с учетом агломераций): 3 130 000  человек.</v>
      </c>
      <c r="AB38" s="15" t="str">
        <f t="shared" ca="1" si="8"/>
        <v>[li][b]Синь Далянь[/b] (нас: 4)[/li][li][b]Урумчи[/b] (нас: 1)[/li][br]Всего население (примерно, с учетом агломераций): 63 130 000  человек.</v>
      </c>
      <c r="AC38" s="15" t="str">
        <f t="shared" ca="1" si="9"/>
        <v>[li][b]Опус Деи[/b] (нас: 4)[/li][li][b]Киото[/b] (нас: 5)[/li][li][b]Брум[/b] (нас: 2)[/li][br]Всего население (примерно, с учетом агломераций): 16 400 000  человек.</v>
      </c>
      <c r="AD38" s="15" t="str">
        <f t="shared" ca="1" si="10"/>
        <v>[li][b]Ра-Кедет[/b] (нас: 3)[/li][li][b]Мемфис[/b] (нас: 1)[/li][br]Всего население (примерно, с учетом агломераций): 255 000  человек.</v>
      </c>
      <c r="AE38" s="15" t="str">
        <f t="shared" ca="1" si="11"/>
        <v>[br]Всего население (примерно, с учетом агломераций): 5 000  человек.</v>
      </c>
      <c r="AG38" s="15" t="str">
        <f t="shared" ca="1" si="20"/>
        <v>[br][b]Лондон[/b] (нас: 3; +0 Мл, +0 Мн, +3 ОН). Постройки: лаборатория (III), стены (защита +3).</v>
      </c>
      <c r="AH38" s="15" t="str">
        <f t="shared" si="12"/>
        <v/>
      </c>
      <c r="AI38" s="15" t="str">
        <f t="shared" si="13"/>
        <v/>
      </c>
      <c r="AJ38" s="15" t="str">
        <f t="shared" ca="1" si="14"/>
        <v>[br][b]Мумбаи[/b] (нас: 1; +0 Мл, +0 Мн, +0 ОН)</v>
      </c>
      <c r="AK38" s="15" t="str">
        <f t="shared" ca="1" si="15"/>
        <v>[br][b]Синь Далянь[/b] (нас: 4; +3 Мл, +0 Мн, +3 ОН). Постройки: фабрика (III), лаборатория (III).[br][b]Урумчи[/b] (нас: 1; +0 Мл, +0 Мн, +0 ОН)</v>
      </c>
      <c r="AL38" s="15" t="str">
        <f t="shared" ca="1" si="16"/>
        <v>[br][b]Опус Деи[/b] (нас: 4; +0 Мл, +0 Мн, +0 ОН). Постройки: арсенал (II), стены (защита +3).[br][b]Киото[/b]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8" s="15" t="str">
        <f t="shared" ca="1" si="17"/>
        <v>[br][b]Ра-Кедет[/b] (нас: 3; +0 Мл, +2 Мн, +3 ОН). Постройки: базар (II*), лаборатория (III).[br][b]Мемфис[/b] (нас: 1; +0 Мл, +0 Мн, +0 ОН)</v>
      </c>
      <c r="AN38" s="15" t="str">
        <f t="shared" si="18"/>
        <v/>
      </c>
      <c r="AP38" s="227" t="str">
        <f t="shared" si="21"/>
        <v>Индонезия</v>
      </c>
    </row>
    <row r="39" spans="1:42" x14ac:dyDescent="0.25">
      <c r="A39" s="15">
        <v>36</v>
      </c>
      <c r="B39" s="15" t="s">
        <v>479</v>
      </c>
      <c r="C39" s="15" t="s">
        <v>4</v>
      </c>
      <c r="D39" s="15">
        <v>3</v>
      </c>
      <c r="E39" s="15"/>
      <c r="F39" s="40"/>
      <c r="G39" s="40">
        <v>2</v>
      </c>
      <c r="H39" s="40">
        <v>3</v>
      </c>
      <c r="I39" s="40"/>
      <c r="J39" s="40"/>
      <c r="K39" s="15"/>
      <c r="L39" s="226">
        <f>IF($C39&lt;&gt;"",$E39*VLOOKUP(VLOOKUP(C39,Нации!B$3:E$10,4,0),База!B$30:H$38,7,0)+F39+VLOOKUP(VLOOKUP(C39,Нации!$B$3:$E$10,4,0),База!$B$30:$M$38,10,0),"")</f>
        <v>0</v>
      </c>
      <c r="M39" s="226">
        <f>IF($C39&lt;&gt;"",$E39*VLOOKUP(VLOOKUP(C39,Нации!B$3:E$10,4,0),База!B$30:H$38,7,0)+G39+VLOOKUP(VLOOKUP(C39,Нации!$B$3:$E$10,4,0),База!$B$30:$M$38,11,0),"")</f>
        <v>2</v>
      </c>
      <c r="N39" s="245">
        <f>IF($C39&lt;&gt;"",$E39*VLOOKUP(VLOOKUP(C39,Нации!B$3:E$10,4,0),База!B$30:H$38,7,0)+H39+VLOOKUP(VLOOKUP(C39,Нации!$B$3:$E$10,4,0),База!$B$30:$M$38,12,0)+IF(K39&lt;&gt;"",VLOOKUP(K39,Чудеса!A$2:J$99,10,0),0),"")</f>
        <v>3</v>
      </c>
      <c r="O39" s="15" t="str">
        <f>IF(E39,База!$C$26,"")</f>
        <v/>
      </c>
      <c r="P39" s="15" t="str">
        <f ca="1">O39&amp;IF(F39,IF(O39&lt;&gt;"",", ","")&amp;OFFSET(INDIRECT("База!$B$"&amp;P$2),0,F39)&amp;" ("&amp;ROMAN(F39)&amp;IF(F39&lt;HLOOKUP($C39,Наука!$D$1:$J$69,P$1),"*","")&amp;")","")</f>
        <v/>
      </c>
      <c r="Q39" s="15" t="str">
        <f ca="1">P39&amp;IF(G39,IF(P39&lt;&gt;"",", ","")&amp;OFFSET(INDIRECT("База!$B$"&amp;Q$2),0,G39)&amp;" ("&amp;ROMAN(G39)&amp;IF(G39&lt;HLOOKUP($C39,Наука!$D$1:$J$69,Q$1),"*","")&amp;")","")</f>
        <v>базар (II*)</v>
      </c>
      <c r="R39" s="15" t="str">
        <f ca="1">Q39&amp;IF(H39,IF(Q39&lt;&gt;"",", ","")&amp;OFFSET(INDIRECT("База!$B$"&amp;R$2),0,H39)&amp;" ("&amp;ROMAN(H39)&amp;IF(H39&lt;HLOOKUP($C39,Наука!$D$1:$J$69,R$1),"*","")&amp;")","")</f>
        <v>базар (II*), лаборатория (III)</v>
      </c>
      <c r="S39" s="15" t="str">
        <f ca="1">R39&amp;IF(I39,IF(R39&lt;&gt;"",", ","")&amp;OFFSET(INDIRECT("База!$B$"&amp;S$2),0,I39)&amp;" ("&amp;ROMAN(I39)&amp;IF(I39&lt;HLOOKUP($C39,Наука!$D$1:$J$69,S$1),"*","")&amp;")","")</f>
        <v>базар (II*), лаборатория (III)</v>
      </c>
      <c r="T39" s="15" t="str">
        <f ca="1">S39&amp;IF(J39,IF(S39&lt;&gt;"",", ","")&amp;OFFSET(База!$B$25,0,J39)&amp;" (защита +3)","")</f>
        <v>базар (II*), лаборатория (III)</v>
      </c>
      <c r="U39" s="15" t="str">
        <f ca="1">T39&amp;IF(K39&lt;&gt;"",IF(T39&lt;&gt;"",", ","")&amp;K39&amp;" (Чудо света"&amp;IF(VLOOKUP(K39,Чудеса!A:H,8,0),", "&amp;VLOOKUP(K39,Чудеса!A:G,7,0),"")&amp;")","")</f>
        <v>базар (II*), лаборатория (III)</v>
      </c>
      <c r="V39" s="15">
        <f ca="1">OFFSET(База!$O$2,D39,0)</f>
        <v>125000</v>
      </c>
      <c r="W39" s="15" t="str">
        <f ca="1">"[br][b]"&amp;B39&amp;"[/b] (нас: "&amp;D39&amp;"; +"&amp;L39&amp;" "&amp;База!$L$2&amp;", +"&amp;M39&amp;" "&amp;База!$L$3&amp;", "&amp;TEXT(N39,"+#;-#;+0")&amp;" "&amp;База!$L$4&amp;")"&amp;IF(U39&lt;&gt;"",". Постройки: "&amp;U39&amp;".","")</f>
        <v>[br][b]Ра-Кедет[/b] (нас: 3; +0 Мл, +2 Мн, +3 ОН). Постройки: базар (II*), лаборатория (III).</v>
      </c>
      <c r="X39" s="15" t="str">
        <f t="shared" ca="1" si="19"/>
        <v>[li][b]Лондон[/b] (нас: 3)[/li][br]Всего население (примерно, с учетом агломераций): 25 250 000  человек.</v>
      </c>
      <c r="Y39" s="15" t="str">
        <f t="shared" si="5"/>
        <v>[br]Всего население (примерно, с учетом агломераций): 000  человек.</v>
      </c>
      <c r="Z39" s="15" t="str">
        <f t="shared" si="6"/>
        <v>[br]Всего население (примерно, с учетом агломераций): 000  человек.</v>
      </c>
      <c r="AA39" s="15" t="str">
        <f t="shared" ca="1" si="7"/>
        <v>[li][b]Мумбаи[/b] (нас: 1)[/li][br]Всего население (примерно, с учетом агломераций): 3 130 000  человек.</v>
      </c>
      <c r="AB39" s="15" t="str">
        <f t="shared" ca="1" si="8"/>
        <v>[li][b]Синь Далянь[/b] (нас: 4)[/li][li][b]Урумчи[/b] (нас: 1)[/li][br]Всего население (примерно, с учетом агломераций): 63 130 000  человек.</v>
      </c>
      <c r="AC39" s="15" t="str">
        <f t="shared" ca="1" si="9"/>
        <v>[li][b]Киото[/b] (нас: 5)[/li][li][b]Брум[/b] (нас: 2)[/li][br]Всего население (примерно, с учетом агломераций): 16 400 000  человек.</v>
      </c>
      <c r="AD39" s="15" t="str">
        <f t="shared" ca="1" si="10"/>
        <v>[li][b]Ра-Кедет[/b] (нас: 3)[/li][li][b]Мемфис[/b] (нас: 1)[/li][br]Всего население (примерно, с учетом агломераций): 255 000  человек.</v>
      </c>
      <c r="AE39" s="15" t="str">
        <f t="shared" ca="1" si="11"/>
        <v>[br]Всего население (примерно, с учетом агломераций): 5 000  человек.</v>
      </c>
      <c r="AG39" s="15" t="str">
        <f t="shared" ca="1" si="20"/>
        <v>[br][b]Лондон[/b] (нас: 3; +0 Мл, +0 Мн, +3 ОН). Постройки: лаборатория (III), стены (защита +3).</v>
      </c>
      <c r="AH39" s="15" t="str">
        <f t="shared" si="12"/>
        <v/>
      </c>
      <c r="AI39" s="15" t="str">
        <f t="shared" si="13"/>
        <v/>
      </c>
      <c r="AJ39" s="15" t="str">
        <f t="shared" ca="1" si="14"/>
        <v>[br][b]Мумбаи[/b] (нас: 1; +0 Мл, +0 Мн, +0 ОН)</v>
      </c>
      <c r="AK39" s="15" t="str">
        <f t="shared" ca="1" si="15"/>
        <v>[br][b]Синь Далянь[/b] (нас: 4; +3 Мл, +0 Мн, +3 ОН). Постройки: фабрика (III), лаборатория (III).[br][b]Урумчи[/b] (нас: 1; +0 Мл, +0 Мн, +0 ОН)</v>
      </c>
      <c r="AL39" s="15" t="str">
        <f t="shared" ca="1" si="16"/>
        <v>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39" s="15" t="str">
        <f t="shared" ca="1" si="17"/>
        <v>[br][b]Ра-Кедет[/b] (нас: 3; +0 Мл, +2 Мн, +3 ОН). Постройки: базар (II*), лаборатория (III).[br][b]Мемфис[/b] (нас: 1; +0 Мл, +0 Мн, +0 ОН)</v>
      </c>
      <c r="AN39" s="15" t="str">
        <f t="shared" si="18"/>
        <v/>
      </c>
      <c r="AP39" s="227" t="str">
        <f t="shared" si="21"/>
        <v>Египет</v>
      </c>
    </row>
    <row r="40" spans="1:42" x14ac:dyDescent="0.25">
      <c r="A40" s="15">
        <v>37</v>
      </c>
      <c r="B40" s="15" t="s">
        <v>480</v>
      </c>
      <c r="C40" s="15" t="s">
        <v>7</v>
      </c>
      <c r="D40" s="15">
        <v>5</v>
      </c>
      <c r="E40" s="15"/>
      <c r="F40" s="40"/>
      <c r="G40" s="40"/>
      <c r="H40" s="40">
        <v>1</v>
      </c>
      <c r="I40" s="40">
        <v>2</v>
      </c>
      <c r="J40" s="40">
        <v>1</v>
      </c>
      <c r="K40" s="15"/>
      <c r="L40" s="226">
        <f>IF($C40&lt;&gt;"",$E40*VLOOKUP(VLOOKUP(C40,Нации!B$3:E$10,4,0),База!B$30:H$38,7,0)+F40+VLOOKUP(VLOOKUP(C40,Нации!$B$3:$E$10,4,0),База!$B$30:$M$38,10,0),"")</f>
        <v>0</v>
      </c>
      <c r="M40" s="226">
        <f>IF($C40&lt;&gt;"",$E40*VLOOKUP(VLOOKUP(C40,Нации!B$3:E$10,4,0),База!B$30:H$38,7,0)+G40+VLOOKUP(VLOOKUP(C40,Нации!$B$3:$E$10,4,0),База!$B$30:$M$38,11,0),"")</f>
        <v>0</v>
      </c>
      <c r="N40" s="245">
        <f>IF($C40&lt;&gt;"",$E40*VLOOKUP(VLOOKUP(C40,Нации!B$3:E$10,4,0),База!B$30:H$38,7,0)+H40+VLOOKUP(VLOOKUP(C40,Нации!$B$3:$E$10,4,0),База!$B$30:$M$38,12,0)+IF(K40&lt;&gt;"",VLOOKUP(K40,Чудеса!A$2:J$99,10,0),0),"")</f>
        <v>1</v>
      </c>
      <c r="O40" s="15" t="str">
        <f>IF(E40,База!$C$26,"")</f>
        <v/>
      </c>
      <c r="P40" s="15" t="str">
        <f ca="1">O40&amp;IF(F40,IF(O40&lt;&gt;"",", ","")&amp;OFFSET(INDIRECT("База!$B$"&amp;P$2),0,F40)&amp;" ("&amp;ROMAN(F40)&amp;IF(F40&lt;HLOOKUP($C40,Наука!$D$1:$J$69,P$1),"*","")&amp;")","")</f>
        <v/>
      </c>
      <c r="Q40" s="15" t="str">
        <f ca="1">P40&amp;IF(G40,IF(P40&lt;&gt;"",", ","")&amp;OFFSET(INDIRECT("База!$B$"&amp;Q$2),0,G40)&amp;" ("&amp;ROMAN(G40)&amp;IF(G40&lt;HLOOKUP($C40,Наука!$D$1:$J$69,Q$1),"*","")&amp;")","")</f>
        <v/>
      </c>
      <c r="R40" s="15" t="str">
        <f ca="1">Q40&amp;IF(H40,IF(Q40&lt;&gt;"",", ","")&amp;OFFSET(INDIRECT("База!$B$"&amp;R$2),0,H40)&amp;" ("&amp;ROMAN(H40)&amp;IF(H40&lt;HLOOKUP($C40,Наука!$D$1:$J$69,R$1),"*","")&amp;")","")</f>
        <v>библиотека (I*)</v>
      </c>
      <c r="S40" s="15" t="str">
        <f ca="1">R40&amp;IF(I40,IF(R40&lt;&gt;"",", ","")&amp;OFFSET(INDIRECT("База!$B$"&amp;S$2),0,I40)&amp;" ("&amp;ROMAN(I40)&amp;IF(I40&lt;HLOOKUP($C40,Наука!$D$1:$J$69,S$1),"*","")&amp;")","")</f>
        <v>библиотека (I*), арсенал (II)</v>
      </c>
      <c r="T40" s="15" t="str">
        <f ca="1">S40&amp;IF(J40,IF(S40&lt;&gt;"",", ","")&amp;OFFSET(База!$B$25,0,J40)&amp;" (защита +3)","")</f>
        <v>библиотека (I*), арсенал (II), стены (защита +3)</v>
      </c>
      <c r="U40" s="15" t="str">
        <f ca="1">T40&amp;IF(K40&lt;&gt;"",IF(T40&lt;&gt;"",", ","")&amp;K40&amp;" (Чудо света"&amp;IF(VLOOKUP(K40,Чудеса!A:H,8,0),", "&amp;VLOOKUP(K40,Чудеса!A:G,7,0),"")&amp;")","")</f>
        <v>библиотека (I*), арсенал (II), стены (защита +3)</v>
      </c>
      <c r="V40" s="15">
        <f ca="1">OFFSET(База!$O$2,D40,0)</f>
        <v>3125000</v>
      </c>
      <c r="W40" s="15" t="str">
        <f ca="1">"[br][b]"&amp;B40&amp;"[/b] (нас: "&amp;D40&amp;"; +"&amp;L40&amp;" "&amp;База!$L$2&amp;", +"&amp;M40&amp;" "&amp;База!$L$3&amp;", "&amp;TEXT(N40,"+#;-#;+0")&amp;" "&amp;База!$L$4&amp;")"&amp;IF(U40&lt;&gt;"",". Постройки: "&amp;U40&amp;".","")</f>
        <v>[br][b]Киото[/b] (нас: 5; +0 Мл, +0 Мн, +1 ОН). Постройки: библиотека (I*), арсенал (II), стены (защита +3).</v>
      </c>
      <c r="X40" s="15" t="str">
        <f t="shared" ca="1" si="19"/>
        <v>[li][b]Лондон[/b] (нас: 3)[/li][br]Всего население (примерно, с учетом агломераций): 25 250 000  человек.</v>
      </c>
      <c r="Y40" s="15" t="str">
        <f t="shared" si="5"/>
        <v>[br]Всего население (примерно, с учетом агломераций): 000  человек.</v>
      </c>
      <c r="Z40" s="15" t="str">
        <f t="shared" si="6"/>
        <v>[br]Всего население (примерно, с учетом агломераций): 000  человек.</v>
      </c>
      <c r="AA40" s="15" t="str">
        <f t="shared" ca="1" si="7"/>
        <v>[li][b]Мумбаи[/b] (нас: 1)[/li][br]Всего население (примерно, с учетом агломераций): 3 130 000  человек.</v>
      </c>
      <c r="AB40" s="15" t="str">
        <f t="shared" ca="1" si="8"/>
        <v>[li][b]Синь Далянь[/b] (нас: 4)[/li][li][b]Урумчи[/b] (нас: 1)[/li][br]Всего население (примерно, с учетом агломераций): 63 130 000  человек.</v>
      </c>
      <c r="AC40" s="15" t="str">
        <f t="shared" ca="1" si="9"/>
        <v>[li][b]Киото[/b] (нас: 5)[/li][li][b]Брум[/b] (нас: 2)[/li][br]Всего население (примерно, с учетом агломераций): 16 400 000  человек.</v>
      </c>
      <c r="AD40" s="15" t="str">
        <f t="shared" ca="1" si="10"/>
        <v>[li][b]Мемфис[/b] (нас: 1)[/li][br]Всего население (примерно, с учетом агломераций): 255 000  человек.</v>
      </c>
      <c r="AE40" s="15" t="str">
        <f t="shared" ca="1" si="11"/>
        <v>[br]Всего население (примерно, с учетом агломераций): 5 000  человек.</v>
      </c>
      <c r="AG40" s="15" t="str">
        <f t="shared" ca="1" si="20"/>
        <v>[br][b]Лондон[/b] (нас: 3; +0 Мл, +0 Мн, +3 ОН). Постройки: лаборатория (III), стены (защита +3).</v>
      </c>
      <c r="AH40" s="15" t="str">
        <f t="shared" si="12"/>
        <v/>
      </c>
      <c r="AI40" s="15" t="str">
        <f t="shared" si="13"/>
        <v/>
      </c>
      <c r="AJ40" s="15" t="str">
        <f t="shared" ca="1" si="14"/>
        <v>[br][b]Мумбаи[/b] (нас: 1; +0 Мл, +0 Мн, +0 ОН)</v>
      </c>
      <c r="AK40" s="15" t="str">
        <f t="shared" ca="1" si="15"/>
        <v>[br][b]Синь Далянь[/b] (нас: 4; +3 Мл, +0 Мн, +3 ОН). Постройки: фабрика (III), лаборатория (III).[br][b]Урумчи[/b] (нас: 1; +0 Мл, +0 Мн, +0 ОН)</v>
      </c>
      <c r="AL40" s="15" t="str">
        <f t="shared" ca="1" si="16"/>
        <v>[br][b]Киото[/b] (нас: 5; +0 Мл, +0 Мн, +1 ОН). Постройки: библиотека (I*), арсенал (II), стены (защита +3).[br][b]Брум[/b] (нас: 2; +0 Мл, +0 Мн, +0 ОН). Постройки: арсенал (II), стены (защита +3).</v>
      </c>
      <c r="AM40" s="15" t="str">
        <f t="shared" ca="1" si="17"/>
        <v>[br][b]Мемфис[/b] (нас: 1; +0 Мл, +0 Мн, +0 ОН)</v>
      </c>
      <c r="AN40" s="15" t="str">
        <f t="shared" si="18"/>
        <v/>
      </c>
      <c r="AP40" s="227" t="str">
        <f t="shared" si="21"/>
        <v>Индонезия</v>
      </c>
    </row>
    <row r="41" spans="1:42" x14ac:dyDescent="0.25">
      <c r="A41" s="15">
        <v>38</v>
      </c>
      <c r="B41" s="15" t="s">
        <v>509</v>
      </c>
      <c r="C41" s="15" t="s">
        <v>6</v>
      </c>
      <c r="D41" s="15">
        <v>4</v>
      </c>
      <c r="E41" s="15"/>
      <c r="F41" s="40">
        <v>3</v>
      </c>
      <c r="G41" s="40"/>
      <c r="H41" s="40">
        <v>3</v>
      </c>
      <c r="I41" s="40"/>
      <c r="J41" s="40"/>
      <c r="K41" s="15"/>
      <c r="L41" s="226">
        <f>IF($C41&lt;&gt;"",$E41*VLOOKUP(VLOOKUP(C41,Нации!B$3:E$10,4,0),База!B$30:H$38,7,0)+F41+VLOOKUP(VLOOKUP(C41,Нации!$B$3:$E$10,4,0),База!$B$30:$M$38,10,0),"")</f>
        <v>3</v>
      </c>
      <c r="M41" s="226">
        <f>IF($C41&lt;&gt;"",$E41*VLOOKUP(VLOOKUP(C41,Нации!B$3:E$10,4,0),База!B$30:H$38,7,0)+G41+VLOOKUP(VLOOKUP(C41,Нации!$B$3:$E$10,4,0),База!$B$30:$M$38,11,0),"")</f>
        <v>0</v>
      </c>
      <c r="N41" s="245">
        <f>IF($C41&lt;&gt;"",$E41*VLOOKUP(VLOOKUP(C41,Нации!B$3:E$10,4,0),База!B$30:H$38,7,0)+H41+VLOOKUP(VLOOKUP(C41,Нации!$B$3:$E$10,4,0),База!$B$30:$M$38,12,0)+IF(K41&lt;&gt;"",VLOOKUP(K41,Чудеса!A$2:J$99,10,0),0),"")</f>
        <v>3</v>
      </c>
      <c r="O41" s="15" t="str">
        <f>IF(E41,База!$C$26,"")</f>
        <v/>
      </c>
      <c r="P41" s="15" t="str">
        <f ca="1">O41&amp;IF(F41,IF(O41&lt;&gt;"",", ","")&amp;OFFSET(INDIRECT("База!$B$"&amp;P$2),0,F41)&amp;" ("&amp;ROMAN(F41)&amp;IF(F41&lt;HLOOKUP($C41,Наука!$D$1:$J$69,P$1),"*","")&amp;")","")</f>
        <v>фабрика (III)</v>
      </c>
      <c r="Q41" s="15" t="str">
        <f ca="1">P41&amp;IF(G41,IF(P41&lt;&gt;"",", ","")&amp;OFFSET(INDIRECT("База!$B$"&amp;Q$2),0,G41)&amp;" ("&amp;ROMAN(G41)&amp;IF(G41&lt;HLOOKUP($C41,Наука!$D$1:$J$69,Q$1),"*","")&amp;")","")</f>
        <v>фабрика (III)</v>
      </c>
      <c r="R41" s="15" t="str">
        <f ca="1">Q41&amp;IF(H41,IF(Q41&lt;&gt;"",", ","")&amp;OFFSET(INDIRECT("База!$B$"&amp;R$2),0,H41)&amp;" ("&amp;ROMAN(H41)&amp;IF(H41&lt;HLOOKUP($C41,Наука!$D$1:$J$69,R$1),"*","")&amp;")","")</f>
        <v>фабрика (III), лаборатория (III)</v>
      </c>
      <c r="S41" s="15" t="str">
        <f ca="1">R41&amp;IF(I41,IF(R41&lt;&gt;"",", ","")&amp;OFFSET(INDIRECT("База!$B$"&amp;S$2),0,I41)&amp;" ("&amp;ROMAN(I41)&amp;IF(I41&lt;HLOOKUP($C41,Наука!$D$1:$J$69,S$1),"*","")&amp;")","")</f>
        <v>фабрика (III), лаборатория (III)</v>
      </c>
      <c r="T41" s="15" t="str">
        <f ca="1">S41&amp;IF(J41,IF(S41&lt;&gt;"",", ","")&amp;OFFSET(База!$B$25,0,J41)&amp;" (защита +3)","")</f>
        <v>фабрика (III), лаборатория (III)</v>
      </c>
      <c r="U41" s="15" t="str">
        <f ca="1">T41&amp;IF(K41&lt;&gt;"",IF(T41&lt;&gt;"",", ","")&amp;K41&amp;" (Чудо света"&amp;IF(VLOOKUP(K41,Чудеса!A:H,8,0),", "&amp;VLOOKUP(K41,Чудеса!A:G,7,0),"")&amp;")","")</f>
        <v>фабрика (III), лаборатория (III)</v>
      </c>
      <c r="V41" s="15">
        <f ca="1">OFFSET(База!$O$2,D41,0)</f>
        <v>625000</v>
      </c>
      <c r="W41" s="15" t="str">
        <f ca="1">"[br][b]"&amp;B41&amp;"[/b] (нас: "&amp;D41&amp;"; +"&amp;L41&amp;" "&amp;База!$L$2&amp;", +"&amp;M41&amp;" "&amp;База!$L$3&amp;", "&amp;TEXT(N41,"+#;-#;+0")&amp;" "&amp;База!$L$4&amp;")"&amp;IF(U41&lt;&gt;"",". Постройки: "&amp;U41&amp;".","")</f>
        <v>[br][b]Синь Далянь[/b] (нас: 4; +3 Мл, +0 Мн, +3 ОН). Постройки: фабрика (III), лаборатория (III).</v>
      </c>
      <c r="X41" s="15" t="str">
        <f t="shared" ca="1" si="19"/>
        <v>[li][b]Лондон[/b] (нас: 3)[/li][br]Всего население (примерно, с учетом агломераций): 25 250 000  человек.</v>
      </c>
      <c r="Y41" s="15" t="str">
        <f t="shared" si="5"/>
        <v>[br]Всего население (примерно, с учетом агломераций): 000  человек.</v>
      </c>
      <c r="Z41" s="15" t="str">
        <f t="shared" si="6"/>
        <v>[br]Всего население (примерно, с учетом агломераций): 000  человек.</v>
      </c>
      <c r="AA41" s="15" t="str">
        <f t="shared" ca="1" si="7"/>
        <v>[li][b]Мумбаи[/b] (нас: 1)[/li][br]Всего население (примерно, с учетом агломераций): 3 130 000  человек.</v>
      </c>
      <c r="AB41" s="15" t="str">
        <f t="shared" ca="1" si="8"/>
        <v>[li][b]Синь Далянь[/b] (нас: 4)[/li][li][b]Урумчи[/b] (нас: 1)[/li][br]Всего население (примерно, с учетом агломераций): 63 130 000  человек.</v>
      </c>
      <c r="AC41" s="15" t="str">
        <f t="shared" ca="1" si="9"/>
        <v>[li][b]Брум[/b] (нас: 2)[/li][br]Всего население (примерно, с учетом агломераций): 16 400 000  человек.</v>
      </c>
      <c r="AD41" s="15" t="str">
        <f t="shared" ca="1" si="10"/>
        <v>[li][b]Мемфис[/b] (нас: 1)[/li][br]Всего население (примерно, с учетом агломераций): 255 000  человек.</v>
      </c>
      <c r="AE41" s="15" t="str">
        <f t="shared" ca="1" si="11"/>
        <v>[br]Всего население (примерно, с учетом агломераций): 5 000  человек.</v>
      </c>
      <c r="AG41" s="15" t="str">
        <f t="shared" ca="1" si="20"/>
        <v>[br][b]Лондон[/b] (нас: 3; +0 Мл, +0 Мн, +3 ОН). Постройки: лаборатория (III), стены (защита +3).</v>
      </c>
      <c r="AH41" s="15" t="str">
        <f t="shared" si="12"/>
        <v/>
      </c>
      <c r="AI41" s="15" t="str">
        <f t="shared" si="13"/>
        <v/>
      </c>
      <c r="AJ41" s="15" t="str">
        <f t="shared" ca="1" si="14"/>
        <v>[br][b]Мумбаи[/b] (нас: 1; +0 Мл, +0 Мн, +0 ОН)</v>
      </c>
      <c r="AK41" s="15" t="str">
        <f t="shared" ca="1" si="15"/>
        <v>[br][b]Синь Далянь[/b] (нас: 4; +3 Мл, +0 Мн, +3 ОН). Постройки: фабрика (III), лаборатория (III).[br][b]Урумчи[/b] (нас: 1; +0 Мл, +0 Мн, +0 ОН)</v>
      </c>
      <c r="AL41" s="15" t="str">
        <f t="shared" ca="1" si="16"/>
        <v>[br][b]Брум[/b] (нас: 2; +0 Мл, +0 Мн, +0 ОН). Постройки: арсенал (II), стены (защита +3).</v>
      </c>
      <c r="AM41" s="15" t="str">
        <f t="shared" ca="1" si="17"/>
        <v>[br][b]Мемфис[/b] (нас: 1; +0 Мл, +0 Мн, +0 ОН)</v>
      </c>
      <c r="AN41" s="15" t="str">
        <f t="shared" si="18"/>
        <v/>
      </c>
      <c r="AP41" s="227" t="str">
        <f t="shared" si="21"/>
        <v>Поднебесная</v>
      </c>
    </row>
    <row r="42" spans="1:42" x14ac:dyDescent="0.25">
      <c r="A42" s="15">
        <v>39</v>
      </c>
      <c r="B42" s="15" t="s">
        <v>511</v>
      </c>
      <c r="C42" s="15" t="s">
        <v>7</v>
      </c>
      <c r="D42" s="15">
        <v>2</v>
      </c>
      <c r="E42" s="15"/>
      <c r="F42" s="40"/>
      <c r="G42" s="40"/>
      <c r="H42" s="40"/>
      <c r="I42" s="40">
        <v>2</v>
      </c>
      <c r="J42" s="40">
        <v>1</v>
      </c>
      <c r="K42" s="15"/>
      <c r="L42" s="226">
        <f>IF($C42&lt;&gt;"",$E42*VLOOKUP(VLOOKUP(C42,Нации!B$3:E$10,4,0),База!B$30:H$38,7,0)+F42+VLOOKUP(VLOOKUP(C42,Нации!$B$3:$E$10,4,0),База!$B$30:$M$38,10,0),"")</f>
        <v>0</v>
      </c>
      <c r="M42" s="226">
        <f>IF($C42&lt;&gt;"",$E42*VLOOKUP(VLOOKUP(C42,Нации!B$3:E$10,4,0),База!B$30:H$38,7,0)+G42+VLOOKUP(VLOOKUP(C42,Нации!$B$3:$E$10,4,0),База!$B$30:$M$38,11,0),"")</f>
        <v>0</v>
      </c>
      <c r="N42" s="245">
        <f>IF($C42&lt;&gt;"",$E42*VLOOKUP(VLOOKUP(C42,Нации!B$3:E$10,4,0),База!B$30:H$38,7,0)+H42+VLOOKUP(VLOOKUP(C42,Нации!$B$3:$E$10,4,0),База!$B$30:$M$38,12,0)+IF(K42&lt;&gt;"",VLOOKUP(K42,Чудеса!A$2:J$99,10,0),0),"")</f>
        <v>0</v>
      </c>
      <c r="O42" s="15" t="str">
        <f>IF(E42,База!$C$26,"")</f>
        <v/>
      </c>
      <c r="P42" s="15" t="str">
        <f ca="1">O42&amp;IF(F42,IF(O42&lt;&gt;"",", ","")&amp;OFFSET(INDIRECT("База!$B$"&amp;P$2),0,F42)&amp;" ("&amp;ROMAN(F42)&amp;IF(F42&lt;HLOOKUP($C42,Наука!$D$1:$J$69,P$1),"*","")&amp;")","")</f>
        <v/>
      </c>
      <c r="Q42" s="15" t="str">
        <f ca="1">P42&amp;IF(G42,IF(P42&lt;&gt;"",", ","")&amp;OFFSET(INDIRECT("База!$B$"&amp;Q$2),0,G42)&amp;" ("&amp;ROMAN(G42)&amp;IF(G42&lt;HLOOKUP($C42,Наука!$D$1:$J$69,Q$1),"*","")&amp;")","")</f>
        <v/>
      </c>
      <c r="R42" s="15" t="str">
        <f ca="1">Q42&amp;IF(H42,IF(Q42&lt;&gt;"",", ","")&amp;OFFSET(INDIRECT("База!$B$"&amp;R$2),0,H42)&amp;" ("&amp;ROMAN(H42)&amp;IF(H42&lt;HLOOKUP($C42,Наука!$D$1:$J$69,R$1),"*","")&amp;")","")</f>
        <v/>
      </c>
      <c r="S42" s="15" t="str">
        <f ca="1">R42&amp;IF(I42,IF(R42&lt;&gt;"",", ","")&amp;OFFSET(INDIRECT("База!$B$"&amp;S$2),0,I42)&amp;" ("&amp;ROMAN(I42)&amp;IF(I42&lt;HLOOKUP($C42,Наука!$D$1:$J$69,S$1),"*","")&amp;")","")</f>
        <v>арсенал (II)</v>
      </c>
      <c r="T42" s="15" t="str">
        <f ca="1">S42&amp;IF(J42,IF(S42&lt;&gt;"",", ","")&amp;OFFSET(База!$B$25,0,J42)&amp;" (защита +3)","")</f>
        <v>арсенал (II), стены (защита +3)</v>
      </c>
      <c r="U42" s="15" t="str">
        <f ca="1">T42&amp;IF(K42&lt;&gt;"",IF(T42&lt;&gt;"",", ","")&amp;K42&amp;" (Чудо света"&amp;IF(VLOOKUP(K42,Чудеса!A:H,8,0),", "&amp;VLOOKUP(K42,Чудеса!A:G,7,0),"")&amp;")","")</f>
        <v>арсенал (II), стены (защита +3)</v>
      </c>
      <c r="V42" s="15">
        <f ca="1">OFFSET(База!$O$2,D42,0)</f>
        <v>25000</v>
      </c>
      <c r="W42" s="15" t="str">
        <f ca="1">"[br][b]"&amp;B42&amp;"[/b] (нас: "&amp;D42&amp;"; +"&amp;L42&amp;" "&amp;База!$L$2&amp;", +"&amp;M42&amp;" "&amp;База!$L$3&amp;", "&amp;TEXT(N42,"+#;-#;+0")&amp;" "&amp;База!$L$4&amp;")"&amp;IF(U42&lt;&gt;"",". Постройки: "&amp;U42&amp;".","")</f>
        <v>[br][b]Брум[/b] (нас: 2; +0 Мл, +0 Мн, +0 ОН). Постройки: арсенал (II), стены (защита +3).</v>
      </c>
      <c r="X42" s="15" t="str">
        <f t="shared" ca="1" si="19"/>
        <v>[li][b]Лондон[/b] (нас: 3)[/li][br]Всего население (примерно, с учетом агломераций): 25 250 000  человек.</v>
      </c>
      <c r="Y42" s="15" t="str">
        <f t="shared" si="5"/>
        <v>[br]Всего население (примерно, с учетом агломераций): 000  человек.</v>
      </c>
      <c r="Z42" s="15" t="str">
        <f t="shared" si="6"/>
        <v>[br]Всего население (примерно, с учетом агломераций): 000  человек.</v>
      </c>
      <c r="AA42" s="15" t="str">
        <f t="shared" ca="1" si="7"/>
        <v>[li][b]Мумбаи[/b] (нас: 1)[/li][br]Всего население (примерно, с учетом агломераций): 3 130 000  человек.</v>
      </c>
      <c r="AB42" s="15" t="str">
        <f t="shared" ca="1" si="8"/>
        <v>[li][b]Урумчи[/b] (нас: 1)[/li][br]Всего население (примерно, с учетом агломераций): 63 130 000  человек.</v>
      </c>
      <c r="AC42" s="15" t="str">
        <f t="shared" ca="1" si="9"/>
        <v>[li][b]Брум[/b] (нас: 2)[/li][br]Всего население (примерно, с учетом агломераций): 16 400 000  человек.</v>
      </c>
      <c r="AD42" s="15" t="str">
        <f t="shared" ca="1" si="10"/>
        <v>[li][b]Мемфис[/b] (нас: 1)[/li][br]Всего население (примерно, с учетом агломераций): 255 000  человек.</v>
      </c>
      <c r="AE42" s="15" t="str">
        <f t="shared" ca="1" si="11"/>
        <v>[br]Всего население (примерно, с учетом агломераций): 5 000  человек.</v>
      </c>
      <c r="AG42" s="15" t="str">
        <f t="shared" ca="1" si="20"/>
        <v>[br][b]Лондон[/b] (нас: 3; +0 Мл, +0 Мн, +3 ОН). Постройки: лаборатория (III), стены (защита +3).</v>
      </c>
      <c r="AH42" s="15" t="str">
        <f t="shared" si="12"/>
        <v/>
      </c>
      <c r="AI42" s="15" t="str">
        <f t="shared" si="13"/>
        <v/>
      </c>
      <c r="AJ42" s="15" t="str">
        <f t="shared" ca="1" si="14"/>
        <v>[br][b]Мумбаи[/b] (нас: 1; +0 Мл, +0 Мн, +0 ОН)</v>
      </c>
      <c r="AK42" s="15" t="str">
        <f t="shared" ca="1" si="15"/>
        <v>[br][b]Урумчи[/b] (нас: 1; +0 Мл, +0 Мн, +0 ОН)</v>
      </c>
      <c r="AL42" s="15" t="str">
        <f t="shared" ca="1" si="16"/>
        <v>[br][b]Брум[/b] (нас: 2; +0 Мл, +0 Мн, +0 ОН). Постройки: арсенал (II), стены (защита +3).</v>
      </c>
      <c r="AM42" s="15" t="str">
        <f t="shared" ca="1" si="17"/>
        <v>[br][b]Мемфис[/b] (нас: 1; +0 Мл, +0 Мн, +0 ОН)</v>
      </c>
      <c r="AN42" s="15" t="str">
        <f t="shared" si="18"/>
        <v/>
      </c>
      <c r="AP42" s="227" t="str">
        <f t="shared" si="21"/>
        <v>Индонезия</v>
      </c>
    </row>
    <row r="43" spans="1:42" x14ac:dyDescent="0.25">
      <c r="A43" s="15">
        <v>40</v>
      </c>
      <c r="B43" s="15" t="s">
        <v>512</v>
      </c>
      <c r="C43" s="15" t="s">
        <v>2</v>
      </c>
      <c r="D43" s="15">
        <v>3</v>
      </c>
      <c r="E43" s="15"/>
      <c r="F43" s="40"/>
      <c r="G43" s="40"/>
      <c r="H43" s="40">
        <v>3</v>
      </c>
      <c r="I43" s="40"/>
      <c r="J43" s="40">
        <v>1</v>
      </c>
      <c r="K43" s="15"/>
      <c r="L43" s="226">
        <f>IF($C43&lt;&gt;"",$E43*VLOOKUP(VLOOKUP(C43,Нации!B$3:E$10,4,0),База!B$30:H$38,7,0)+F43+VLOOKUP(VLOOKUP(C43,Нации!$B$3:$E$10,4,0),База!$B$30:$M$38,10,0),"")</f>
        <v>0</v>
      </c>
      <c r="M43" s="226">
        <f>IF($C43&lt;&gt;"",$E43*VLOOKUP(VLOOKUP(C43,Нации!B$3:E$10,4,0),База!B$30:H$38,7,0)+G43+VLOOKUP(VLOOKUP(C43,Нации!$B$3:$E$10,4,0),База!$B$30:$M$38,11,0),"")</f>
        <v>0</v>
      </c>
      <c r="N43" s="245">
        <f>IF($C43&lt;&gt;"",$E43*VLOOKUP(VLOOKUP(C43,Нации!B$3:E$10,4,0),База!B$30:H$38,7,0)+H43+VLOOKUP(VLOOKUP(C43,Нации!$B$3:$E$10,4,0),База!$B$30:$M$38,12,0)+IF(K43&lt;&gt;"",VLOOKUP(K43,Чудеса!A$2:J$99,10,0),0),"")</f>
        <v>3</v>
      </c>
      <c r="O43" s="15" t="str">
        <f>IF(E43,База!$C$26,"")</f>
        <v/>
      </c>
      <c r="P43" s="15" t="str">
        <f ca="1">O43&amp;IF(F43,IF(O43&lt;&gt;"",", ","")&amp;OFFSET(INDIRECT("База!$B$"&amp;P$2),0,F43)&amp;" ("&amp;ROMAN(F43)&amp;IF(F43&lt;HLOOKUP($C43,Наука!$D$1:$J$69,P$1),"*","")&amp;")","")</f>
        <v/>
      </c>
      <c r="Q43" s="15" t="str">
        <f ca="1">P43&amp;IF(G43,IF(P43&lt;&gt;"",", ","")&amp;OFFSET(INDIRECT("База!$B$"&amp;Q$2),0,G43)&amp;" ("&amp;ROMAN(G43)&amp;IF(G43&lt;HLOOKUP($C43,Наука!$D$1:$J$69,Q$1),"*","")&amp;")","")</f>
        <v/>
      </c>
      <c r="R43" s="15" t="str">
        <f ca="1">Q43&amp;IF(H43,IF(Q43&lt;&gt;"",", ","")&amp;OFFSET(INDIRECT("База!$B$"&amp;R$2),0,H43)&amp;" ("&amp;ROMAN(H43)&amp;IF(H43&lt;HLOOKUP($C43,Наука!$D$1:$J$69,R$1),"*","")&amp;")","")</f>
        <v>лаборатория (III)</v>
      </c>
      <c r="S43" s="15" t="str">
        <f ca="1">R43&amp;IF(I43,IF(R43&lt;&gt;"",", ","")&amp;OFFSET(INDIRECT("База!$B$"&amp;S$2),0,I43)&amp;" ("&amp;ROMAN(I43)&amp;IF(I43&lt;HLOOKUP($C43,Наука!$D$1:$J$69,S$1),"*","")&amp;")","")</f>
        <v>лаборатория (III)</v>
      </c>
      <c r="T43" s="15" t="str">
        <f ca="1">S43&amp;IF(J43,IF(S43&lt;&gt;"",", ","")&amp;OFFSET(База!$B$25,0,J43)&amp;" (защита +3)","")</f>
        <v>лаборатория (III), стены (защита +3)</v>
      </c>
      <c r="U43" s="15" t="str">
        <f ca="1">T43&amp;IF(K43&lt;&gt;"",IF(T43&lt;&gt;"",", ","")&amp;K43&amp;" (Чудо света"&amp;IF(VLOOKUP(K43,Чудеса!A:H,8,0),", "&amp;VLOOKUP(K43,Чудеса!A:G,7,0),"")&amp;")","")</f>
        <v>лаборатория (III), стены (защита +3)</v>
      </c>
      <c r="V43" s="15">
        <f ca="1">OFFSET(База!$O$2,D43,0)</f>
        <v>125000</v>
      </c>
      <c r="W43" s="15" t="str">
        <f ca="1">"[br][b]"&amp;B43&amp;"[/b] (нас: "&amp;D43&amp;"; +"&amp;L43&amp;" "&amp;База!$L$2&amp;", +"&amp;M43&amp;" "&amp;База!$L$3&amp;", "&amp;TEXT(N43,"+#;-#;+0")&amp;" "&amp;База!$L$4&amp;")"&amp;IF(U43&lt;&gt;"",". Постройки: "&amp;U43&amp;".","")</f>
        <v>[br][b]Лондон[/b] (нас: 3; +0 Мл, +0 Мн, +3 ОН). Постройки: лаборатория (III), стены (защита +3).</v>
      </c>
      <c r="X43" s="15" t="str">
        <f t="shared" ca="1" si="19"/>
        <v>[li][b]Лондон[/b] (нас: 3)[/li][br]Всего население (примерно, с учетом агломераций): 25 250 000  человек.</v>
      </c>
      <c r="Y43" s="15" t="str">
        <f t="shared" si="5"/>
        <v>[br]Всего население (примерно, с учетом агломераций): 000  человек.</v>
      </c>
      <c r="Z43" s="15" t="str">
        <f t="shared" si="6"/>
        <v>[br]Всего население (примерно, с учетом агломераций): 000  человек.</v>
      </c>
      <c r="AA43" s="15" t="str">
        <f t="shared" ca="1" si="7"/>
        <v>[li][b]Мумбаи[/b] (нас: 1)[/li][br]Всего население (примерно, с учетом агломераций): 3 130 000  человек.</v>
      </c>
      <c r="AB43" s="15" t="str">
        <f t="shared" ca="1" si="8"/>
        <v>[li][b]Урумчи[/b] (нас: 1)[/li][br]Всего население (примерно, с учетом агломераций): 63 130 000  человек.</v>
      </c>
      <c r="AC43" s="15" t="str">
        <f t="shared" ca="1" si="9"/>
        <v>[br]Всего население (примерно, с учетом агломераций): 16 400 000  человек.</v>
      </c>
      <c r="AD43" s="15" t="str">
        <f t="shared" ca="1" si="10"/>
        <v>[li][b]Мемфис[/b] (нас: 1)[/li][br]Всего население (примерно, с учетом агломераций): 255 000  человек.</v>
      </c>
      <c r="AE43" s="15" t="str">
        <f t="shared" ca="1" si="11"/>
        <v>[br]Всего население (примерно, с учетом агломераций): 5 000  человек.</v>
      </c>
      <c r="AG43" s="15" t="str">
        <f t="shared" ca="1" si="20"/>
        <v>[br][b]Лондон[/b] (нас: 3; +0 Мл, +0 Мн, +3 ОН). Постройки: лаборатория (III), стены (защита +3).</v>
      </c>
      <c r="AH43" s="15" t="str">
        <f t="shared" si="12"/>
        <v/>
      </c>
      <c r="AI43" s="15" t="str">
        <f t="shared" si="13"/>
        <v/>
      </c>
      <c r="AJ43" s="15" t="str">
        <f t="shared" ca="1" si="14"/>
        <v>[br][b]Мумбаи[/b] (нас: 1; +0 Мл, +0 Мн, +0 ОН)</v>
      </c>
      <c r="AK43" s="15" t="str">
        <f t="shared" ca="1" si="15"/>
        <v>[br][b]Урумчи[/b] (нас: 1; +0 Мл, +0 Мн, +0 ОН)</v>
      </c>
      <c r="AL43" s="15" t="str">
        <f t="shared" si="16"/>
        <v/>
      </c>
      <c r="AM43" s="15" t="str">
        <f t="shared" ca="1" si="17"/>
        <v>[br][b]Мемфис[/b] (нас: 1; +0 Мл, +0 Мн, +0 ОН)</v>
      </c>
      <c r="AN43" s="15" t="str">
        <f t="shared" si="18"/>
        <v/>
      </c>
      <c r="AP43" s="227" t="str">
        <f t="shared" si="21"/>
        <v>Русь</v>
      </c>
    </row>
    <row r="44" spans="1:42" x14ac:dyDescent="0.25">
      <c r="A44" s="15">
        <v>41</v>
      </c>
      <c r="B44" s="15" t="s">
        <v>563</v>
      </c>
      <c r="C44" s="15" t="s">
        <v>6</v>
      </c>
      <c r="D44" s="15">
        <v>1</v>
      </c>
      <c r="E44" s="15"/>
      <c r="F44" s="40"/>
      <c r="G44" s="40"/>
      <c r="H44" s="40"/>
      <c r="I44" s="40"/>
      <c r="J44" s="40"/>
      <c r="K44" s="15"/>
      <c r="L44" s="226">
        <f>IF($C44&lt;&gt;"",$E44*VLOOKUP(VLOOKUP(C44,Нации!B$3:E$10,4,0),База!B$30:H$38,7,0)+F44+VLOOKUP(VLOOKUP(C44,Нации!$B$3:$E$10,4,0),База!$B$30:$M$38,10,0),"")</f>
        <v>0</v>
      </c>
      <c r="M44" s="226">
        <f>IF($C44&lt;&gt;"",$E44*VLOOKUP(VLOOKUP(C44,Нации!B$3:E$10,4,0),База!B$30:H$38,7,0)+G44+VLOOKUP(VLOOKUP(C44,Нации!$B$3:$E$10,4,0),База!$B$30:$M$38,11,0),"")</f>
        <v>0</v>
      </c>
      <c r="N44" s="245">
        <f>IF($C44&lt;&gt;"",$E44*VLOOKUP(VLOOKUP(C44,Нации!B$3:E$10,4,0),База!B$30:H$38,7,0)+H44+VLOOKUP(VLOOKUP(C44,Нации!$B$3:$E$10,4,0),База!$B$30:$M$38,12,0)+IF(K44&lt;&gt;"",VLOOKUP(K44,Чудеса!A$2:J$99,10,0),0),"")</f>
        <v>0</v>
      </c>
      <c r="O44" s="15" t="str">
        <f>IF(E44,База!$C$26,"")</f>
        <v/>
      </c>
      <c r="P44" s="15" t="str">
        <f ca="1">O44&amp;IF(F44,IF(O44&lt;&gt;"",", ","")&amp;OFFSET(INDIRECT("База!$B$"&amp;P$2),0,F44)&amp;" ("&amp;ROMAN(F44)&amp;IF(F44&lt;HLOOKUP($C44,Наука!$D$1:$J$69,P$1),"*","")&amp;")","")</f>
        <v/>
      </c>
      <c r="Q44" s="15" t="str">
        <f ca="1">P44&amp;IF(G44,IF(P44&lt;&gt;"",", ","")&amp;OFFSET(INDIRECT("База!$B$"&amp;Q$2),0,G44)&amp;" ("&amp;ROMAN(G44)&amp;IF(G44&lt;HLOOKUP($C44,Наука!$D$1:$J$69,Q$1),"*","")&amp;")","")</f>
        <v/>
      </c>
      <c r="R44" s="15" t="str">
        <f ca="1">Q44&amp;IF(H44,IF(Q44&lt;&gt;"",", ","")&amp;OFFSET(INDIRECT("База!$B$"&amp;R$2),0,H44)&amp;" ("&amp;ROMAN(H44)&amp;IF(H44&lt;HLOOKUP($C44,Наука!$D$1:$J$69,R$1),"*","")&amp;")","")</f>
        <v/>
      </c>
      <c r="S44" s="15" t="str">
        <f ca="1">R44&amp;IF(I44,IF(R44&lt;&gt;"",", ","")&amp;OFFSET(INDIRECT("База!$B$"&amp;S$2),0,I44)&amp;" ("&amp;ROMAN(I44)&amp;IF(I44&lt;HLOOKUP($C44,Наука!$D$1:$J$69,S$1),"*","")&amp;")","")</f>
        <v/>
      </c>
      <c r="T44" s="15" t="str">
        <f ca="1">S44&amp;IF(J44,IF(S44&lt;&gt;"",", ","")&amp;OFFSET(База!$B$25,0,J44)&amp;" (защита +3)","")</f>
        <v/>
      </c>
      <c r="U44" s="15" t="str">
        <f ca="1">T44&amp;IF(K44&lt;&gt;"",IF(T44&lt;&gt;"",", ","")&amp;K44&amp;" (Чудо света"&amp;IF(VLOOKUP(K44,Чудеса!A:H,8,0),", "&amp;VLOOKUP(K44,Чудеса!A:G,7,0),"")&amp;")","")</f>
        <v/>
      </c>
      <c r="V44" s="15">
        <f ca="1">OFFSET(База!$O$2,D44,0)</f>
        <v>5000</v>
      </c>
      <c r="W44" s="15" t="str">
        <f ca="1">"[br][b]"&amp;B44&amp;"[/b] (нас: "&amp;D44&amp;"; +"&amp;L44&amp;" "&amp;База!$L$2&amp;", +"&amp;M44&amp;" "&amp;База!$L$3&amp;", "&amp;TEXT(N44,"+#;-#;+0")&amp;" "&amp;База!$L$4&amp;")"&amp;IF(U44&lt;&gt;"",". Постройки: "&amp;U44&amp;".","")</f>
        <v>[br][b]Урумчи[/b] (нас: 1; +0 Мл, +0 Мн, +0 ОН)</v>
      </c>
      <c r="X44" s="15" t="str">
        <f t="shared" ca="1" si="19"/>
        <v>[br]Всего население (примерно, с учетом агломераций): 25 250 000  человек.</v>
      </c>
      <c r="Y44" s="15" t="str">
        <f t="shared" si="5"/>
        <v>[br]Всего население (примерно, с учетом агломераций): 000  человек.</v>
      </c>
      <c r="Z44" s="15" t="str">
        <f t="shared" si="6"/>
        <v>[br]Всего население (примерно, с учетом агломераций): 000  человек.</v>
      </c>
      <c r="AA44" s="15" t="str">
        <f t="shared" ca="1" si="7"/>
        <v>[li][b]Мумбаи[/b] (нас: 1)[/li][br]Всего население (примерно, с учетом агломераций): 3 130 000  человек.</v>
      </c>
      <c r="AB44" s="15" t="str">
        <f t="shared" ca="1" si="8"/>
        <v>[li][b]Урумчи[/b] (нас: 1)[/li][br]Всего население (примерно, с учетом агломераций): 63 130 000  человек.</v>
      </c>
      <c r="AC44" s="15" t="str">
        <f t="shared" ca="1" si="9"/>
        <v>[br]Всего население (примерно, с учетом агломераций): 16 400 000  человек.</v>
      </c>
      <c r="AD44" s="15" t="str">
        <f t="shared" ca="1" si="10"/>
        <v>[li][b]Мемфис[/b] (нас: 1)[/li][br]Всего население (примерно, с учетом агломераций): 255 000  человек.</v>
      </c>
      <c r="AE44" s="15" t="str">
        <f t="shared" ca="1" si="11"/>
        <v>[br]Всего население (примерно, с учетом агломераций): 5 000  человек.</v>
      </c>
      <c r="AG44" s="15" t="str">
        <f t="shared" si="20"/>
        <v/>
      </c>
      <c r="AH44" s="15" t="str">
        <f t="shared" si="12"/>
        <v/>
      </c>
      <c r="AI44" s="15" t="str">
        <f t="shared" si="13"/>
        <v/>
      </c>
      <c r="AJ44" s="15" t="str">
        <f t="shared" ca="1" si="14"/>
        <v>[br][b]Мумбаи[/b] (нас: 1; +0 Мл, +0 Мн, +0 ОН)</v>
      </c>
      <c r="AK44" s="15" t="str">
        <f t="shared" ca="1" si="15"/>
        <v>[br][b]Урумчи[/b] (нас: 1; +0 Мл, +0 Мн, +0 ОН)</v>
      </c>
      <c r="AL44" s="15" t="str">
        <f t="shared" si="16"/>
        <v/>
      </c>
      <c r="AM44" s="15" t="str">
        <f t="shared" ca="1" si="17"/>
        <v>[br][b]Мемфис[/b] (нас: 1; +0 Мл, +0 Мн, +0 ОН)</v>
      </c>
      <c r="AN44" s="15" t="str">
        <f t="shared" si="18"/>
        <v/>
      </c>
      <c r="AP44" s="227" t="str">
        <f t="shared" si="21"/>
        <v>Поднебесная</v>
      </c>
    </row>
    <row r="45" spans="1:42" x14ac:dyDescent="0.25">
      <c r="A45" s="15">
        <v>42</v>
      </c>
      <c r="B45" s="15" t="s">
        <v>312</v>
      </c>
      <c r="C45" s="15" t="s">
        <v>5</v>
      </c>
      <c r="D45" s="15">
        <v>1</v>
      </c>
      <c r="E45" s="15"/>
      <c r="F45" s="40"/>
      <c r="G45" s="40"/>
      <c r="H45" s="40"/>
      <c r="I45" s="40"/>
      <c r="J45" s="40"/>
      <c r="K45" s="15"/>
      <c r="L45" s="226">
        <f>IF($C45&lt;&gt;"",$E45*VLOOKUP(VLOOKUP(C45,Нации!B$3:E$10,4,0),База!B$30:H$38,7,0)+F45+VLOOKUP(VLOOKUP(C45,Нации!$B$3:$E$10,4,0),База!$B$30:$M$38,10,0),"")</f>
        <v>0</v>
      </c>
      <c r="M45" s="226">
        <f>IF($C45&lt;&gt;"",$E45*VLOOKUP(VLOOKUP(C45,Нации!B$3:E$10,4,0),База!B$30:H$38,7,0)+G45+VLOOKUP(VLOOKUP(C45,Нации!$B$3:$E$10,4,0),База!$B$30:$M$38,11,0),"")</f>
        <v>0</v>
      </c>
      <c r="N45" s="245">
        <f>IF($C45&lt;&gt;"",$E45*VLOOKUP(VLOOKUP(C45,Нации!B$3:E$10,4,0),База!B$30:H$38,7,0)+H45+VLOOKUP(VLOOKUP(C45,Нации!$B$3:$E$10,4,0),База!$B$30:$M$38,12,0)+IF(K45&lt;&gt;"",VLOOKUP(K45,Чудеса!A$2:J$99,10,0),0),"")</f>
        <v>0</v>
      </c>
      <c r="O45" s="15" t="str">
        <f>IF(E45,База!$C$26,"")</f>
        <v/>
      </c>
      <c r="P45" s="15" t="str">
        <f ca="1">O45&amp;IF(F45,IF(O45&lt;&gt;"",", ","")&amp;OFFSET(INDIRECT("База!$B$"&amp;P$2),0,F45)&amp;" ("&amp;ROMAN(F45)&amp;IF(F45&lt;HLOOKUP($C45,Наука!$D$1:$J$69,P$1),"*","")&amp;")","")</f>
        <v/>
      </c>
      <c r="Q45" s="15" t="str">
        <f ca="1">P45&amp;IF(G45,IF(P45&lt;&gt;"",", ","")&amp;OFFSET(INDIRECT("База!$B$"&amp;Q$2),0,G45)&amp;" ("&amp;ROMAN(G45)&amp;IF(G45&lt;HLOOKUP($C45,Наука!$D$1:$J$69,Q$1),"*","")&amp;")","")</f>
        <v/>
      </c>
      <c r="R45" s="15" t="str">
        <f ca="1">Q45&amp;IF(H45,IF(Q45&lt;&gt;"",", ","")&amp;OFFSET(INDIRECT("База!$B$"&amp;R$2),0,H45)&amp;" ("&amp;ROMAN(H45)&amp;IF(H45&lt;HLOOKUP($C45,Наука!$D$1:$J$69,R$1),"*","")&amp;")","")</f>
        <v/>
      </c>
      <c r="S45" s="15" t="str">
        <f ca="1">R45&amp;IF(I45,IF(R45&lt;&gt;"",", ","")&amp;OFFSET(INDIRECT("База!$B$"&amp;S$2),0,I45)&amp;" ("&amp;ROMAN(I45)&amp;IF(I45&lt;HLOOKUP($C45,Наука!$D$1:$J$69,S$1),"*","")&amp;")","")</f>
        <v/>
      </c>
      <c r="T45" s="15" t="str">
        <f ca="1">S45&amp;IF(J45,IF(S45&lt;&gt;"",", ","")&amp;OFFSET(База!$B$25,0,J45)&amp;" (защита +3)","")</f>
        <v/>
      </c>
      <c r="U45" s="15" t="str">
        <f ca="1">T45&amp;IF(K45&lt;&gt;"",IF(T45&lt;&gt;"",", ","")&amp;K45&amp;" (Чудо света"&amp;IF(VLOOKUP(K45,Чудеса!A:H,8,0),", "&amp;VLOOKUP(K45,Чудеса!A:G,7,0),"")&amp;")","")</f>
        <v/>
      </c>
      <c r="V45" s="15">
        <f ca="1">OFFSET(База!$O$2,D45,0)</f>
        <v>5000</v>
      </c>
      <c r="W45" s="15" t="str">
        <f ca="1">"[br][b]"&amp;B45&amp;"[/b] (нас: "&amp;D45&amp;"; +"&amp;L45&amp;" "&amp;База!$L$2&amp;", +"&amp;M45&amp;" "&amp;База!$L$3&amp;", "&amp;TEXT(N45,"+#;-#;+0")&amp;" "&amp;База!$L$4&amp;")"&amp;IF(U45&lt;&gt;"",". Постройки: "&amp;U45&amp;".","")</f>
        <v>[br][b]Мумбаи[/b] (нас: 1; +0 Мл, +0 Мн, +0 ОН)</v>
      </c>
      <c r="X45" s="15" t="str">
        <f t="shared" ca="1" si="19"/>
        <v>[br]Всего население (примерно, с учетом агломераций): 25 250 000  человек.</v>
      </c>
      <c r="Y45" s="15" t="str">
        <f t="shared" si="5"/>
        <v>[br]Всего население (примерно, с учетом агломераций): 000  человек.</v>
      </c>
      <c r="Z45" s="15" t="str">
        <f t="shared" si="6"/>
        <v>[br]Всего население (примерно, с учетом агломераций): 000  человек.</v>
      </c>
      <c r="AA45" s="15" t="str">
        <f t="shared" ca="1" si="7"/>
        <v>[li][b]Мумбаи[/b] (нас: 1)[/li][br]Всего население (примерно, с учетом агломераций): 3 130 000  человек.</v>
      </c>
      <c r="AB45" s="15" t="str">
        <f t="shared" ca="1" si="8"/>
        <v>[br]Всего население (примерно, с учетом агломераций): 63 130 000  человек.</v>
      </c>
      <c r="AC45" s="15" t="str">
        <f t="shared" ca="1" si="9"/>
        <v>[br]Всего население (примерно, с учетом агломераций): 16 400 000  человек.</v>
      </c>
      <c r="AD45" s="15" t="str">
        <f t="shared" ca="1" si="10"/>
        <v>[li][b]Мемфис[/b] (нас: 1)[/li][br]Всего население (примерно, с учетом агломераций): 255 000  человек.</v>
      </c>
      <c r="AE45" s="15" t="str">
        <f t="shared" ca="1" si="11"/>
        <v>[br]Всего население (примерно, с учетом агломераций): 5 000  человек.</v>
      </c>
      <c r="AG45" s="15" t="str">
        <f t="shared" si="20"/>
        <v/>
      </c>
      <c r="AH45" s="15" t="str">
        <f t="shared" si="12"/>
        <v/>
      </c>
      <c r="AI45" s="15" t="str">
        <f t="shared" si="13"/>
        <v/>
      </c>
      <c r="AJ45" s="15" t="str">
        <f t="shared" ca="1" si="14"/>
        <v>[br][b]Мумбаи[/b] (нас: 1; +0 Мл, +0 Мн, +0 ОН)</v>
      </c>
      <c r="AK45" s="15" t="str">
        <f t="shared" si="15"/>
        <v/>
      </c>
      <c r="AL45" s="15" t="str">
        <f t="shared" si="16"/>
        <v/>
      </c>
      <c r="AM45" s="15" t="str">
        <f t="shared" ca="1" si="17"/>
        <v>[br][b]Мемфис[/b] (нас: 1; +0 Мл, +0 Мн, +0 ОН)</v>
      </c>
      <c r="AN45" s="15" t="str">
        <f t="shared" si="18"/>
        <v/>
      </c>
      <c r="AP45" s="227" t="str">
        <f t="shared" si="21"/>
        <v>Великие монголы</v>
      </c>
    </row>
    <row r="46" spans="1:42" x14ac:dyDescent="0.25">
      <c r="A46" s="15">
        <v>43</v>
      </c>
      <c r="B46" s="15" t="s">
        <v>310</v>
      </c>
      <c r="C46" s="15" t="s">
        <v>4</v>
      </c>
      <c r="D46" s="15">
        <v>1</v>
      </c>
      <c r="E46" s="15"/>
      <c r="F46" s="40"/>
      <c r="G46" s="40"/>
      <c r="H46" s="40"/>
      <c r="I46" s="40"/>
      <c r="J46" s="40"/>
      <c r="K46" s="15"/>
      <c r="L46" s="226">
        <f>IF($C46&lt;&gt;"",$E46*VLOOKUP(VLOOKUP(C46,Нации!B$3:E$10,4,0),База!B$30:H$38,7,0)+F46+VLOOKUP(VLOOKUP(C46,Нации!$B$3:$E$10,4,0),База!$B$30:$M$38,10,0),"")</f>
        <v>0</v>
      </c>
      <c r="M46" s="226">
        <f>IF($C46&lt;&gt;"",$E46*VLOOKUP(VLOOKUP(C46,Нации!B$3:E$10,4,0),База!B$30:H$38,7,0)+G46+VLOOKUP(VLOOKUP(C46,Нации!$B$3:$E$10,4,0),База!$B$30:$M$38,11,0),"")</f>
        <v>0</v>
      </c>
      <c r="N46" s="245">
        <f>IF($C46&lt;&gt;"",$E46*VLOOKUP(VLOOKUP(C46,Нации!B$3:E$10,4,0),База!B$30:H$38,7,0)+H46+VLOOKUP(VLOOKUP(C46,Нации!$B$3:$E$10,4,0),База!$B$30:$M$38,12,0)+IF(K46&lt;&gt;"",VLOOKUP(K46,Чудеса!A$2:J$99,10,0),0),"")</f>
        <v>0</v>
      </c>
      <c r="O46" s="15" t="str">
        <f>IF(E46,База!$C$26,"")</f>
        <v/>
      </c>
      <c r="P46" s="15" t="str">
        <f ca="1">O46&amp;IF(F46,IF(O46&lt;&gt;"",", ","")&amp;OFFSET(INDIRECT("База!$B$"&amp;P$2),0,F46)&amp;" ("&amp;ROMAN(F46)&amp;IF(F46&lt;HLOOKUP($C46,Наука!$D$1:$J$69,P$1),"*","")&amp;")","")</f>
        <v/>
      </c>
      <c r="Q46" s="15" t="str">
        <f ca="1">P46&amp;IF(G46,IF(P46&lt;&gt;"",", ","")&amp;OFFSET(INDIRECT("База!$B$"&amp;Q$2),0,G46)&amp;" ("&amp;ROMAN(G46)&amp;IF(G46&lt;HLOOKUP($C46,Наука!$D$1:$J$69,Q$1),"*","")&amp;")","")</f>
        <v/>
      </c>
      <c r="R46" s="15" t="str">
        <f ca="1">Q46&amp;IF(H46,IF(Q46&lt;&gt;"",", ","")&amp;OFFSET(INDIRECT("База!$B$"&amp;R$2),0,H46)&amp;" ("&amp;ROMAN(H46)&amp;IF(H46&lt;HLOOKUP($C46,Наука!$D$1:$J$69,R$1),"*","")&amp;")","")</f>
        <v/>
      </c>
      <c r="S46" s="15" t="str">
        <f ca="1">R46&amp;IF(I46,IF(R46&lt;&gt;"",", ","")&amp;OFFSET(INDIRECT("База!$B$"&amp;S$2),0,I46)&amp;" ("&amp;ROMAN(I46)&amp;IF(I46&lt;HLOOKUP($C46,Наука!$D$1:$J$69,S$1),"*","")&amp;")","")</f>
        <v/>
      </c>
      <c r="T46" s="15" t="str">
        <f ca="1">S46&amp;IF(J46,IF(S46&lt;&gt;"",", ","")&amp;OFFSET(База!$B$25,0,J46)&amp;" (защита +3)","")</f>
        <v/>
      </c>
      <c r="U46" s="15" t="str">
        <f ca="1">T46&amp;IF(K46&lt;&gt;"",IF(T46&lt;&gt;"",", ","")&amp;K46&amp;" (Чудо света"&amp;IF(VLOOKUP(K46,Чудеса!A:H,8,0),", "&amp;VLOOKUP(K46,Чудеса!A:G,7,0),"")&amp;")","")</f>
        <v/>
      </c>
      <c r="V46" s="15">
        <f ca="1">OFFSET(База!$O$2,D46,0)</f>
        <v>5000</v>
      </c>
      <c r="W46" s="15" t="str">
        <f ca="1">"[br][b]"&amp;B46&amp;"[/b] (нас: "&amp;D46&amp;"; +"&amp;L46&amp;" "&amp;База!$L$2&amp;", +"&amp;M46&amp;" "&amp;База!$L$3&amp;", "&amp;TEXT(N46,"+#;-#;+0")&amp;" "&amp;База!$L$4&amp;")"&amp;IF(U46&lt;&gt;"",". Постройки: "&amp;U46&amp;".","")</f>
        <v>[br][b]Мемфис[/b] (нас: 1; +0 Мл, +0 Мн, +0 ОН)</v>
      </c>
      <c r="X46" s="15" t="str">
        <f t="shared" ca="1" si="19"/>
        <v>[br]Всего население (примерно, с учетом агломераций): 25 250 000  человек.</v>
      </c>
      <c r="Y46" s="15" t="str">
        <f t="shared" si="5"/>
        <v>[br]Всего население (примерно, с учетом агломераций): 000  человек.</v>
      </c>
      <c r="Z46" s="15" t="str">
        <f t="shared" si="6"/>
        <v>[br]Всего население (примерно, с учетом агломераций): 000  человек.</v>
      </c>
      <c r="AA46" s="15" t="str">
        <f t="shared" ca="1" si="7"/>
        <v>[br]Всего население (примерно, с учетом агломераций): 3 130 000  человек.</v>
      </c>
      <c r="AB46" s="15" t="str">
        <f t="shared" ca="1" si="8"/>
        <v>[br]Всего население (примерно, с учетом агломераций): 63 130 000  человек.</v>
      </c>
      <c r="AC46" s="15" t="str">
        <f t="shared" ca="1" si="9"/>
        <v>[br]Всего население (примерно, с учетом агломераций): 16 400 000  человек.</v>
      </c>
      <c r="AD46" s="15" t="str">
        <f t="shared" ca="1" si="10"/>
        <v>[li][b]Мемфис[/b] (нас: 1)[/li][br]Всего население (примерно, с учетом агломераций): 255 000  человек.</v>
      </c>
      <c r="AE46" s="15" t="str">
        <f t="shared" ca="1" si="11"/>
        <v>[br]Всего население (примерно, с учетом агломераций): 5 000  человек.</v>
      </c>
      <c r="AG46" s="15" t="str">
        <f t="shared" si="20"/>
        <v/>
      </c>
      <c r="AH46" s="15" t="str">
        <f t="shared" si="12"/>
        <v/>
      </c>
      <c r="AI46" s="15" t="str">
        <f t="shared" si="13"/>
        <v/>
      </c>
      <c r="AJ46" s="15" t="str">
        <f t="shared" si="14"/>
        <v/>
      </c>
      <c r="AK46" s="15" t="str">
        <f t="shared" si="15"/>
        <v/>
      </c>
      <c r="AL46" s="15" t="str">
        <f t="shared" si="16"/>
        <v/>
      </c>
      <c r="AM46" s="15" t="str">
        <f t="shared" ca="1" si="17"/>
        <v>[br][b]Мемфис[/b] (нас: 1; +0 Мл, +0 Мн, +0 ОН)</v>
      </c>
      <c r="AN46" s="15" t="str">
        <f t="shared" si="18"/>
        <v/>
      </c>
      <c r="AP46" s="227" t="str">
        <f t="shared" si="21"/>
        <v>Египет</v>
      </c>
    </row>
    <row r="47" spans="1:42" x14ac:dyDescent="0.25">
      <c r="A47" s="15">
        <v>44</v>
      </c>
      <c r="B47" s="15"/>
      <c r="C47" s="15"/>
      <c r="D47" s="15"/>
      <c r="E47" s="15"/>
      <c r="F47" s="40"/>
      <c r="G47" s="40"/>
      <c r="H47" s="40"/>
      <c r="I47" s="40"/>
      <c r="J47" s="40"/>
      <c r="K47" s="15"/>
      <c r="L47" s="226" t="str">
        <f>IF($C47&lt;&gt;"",$E47*VLOOKUP(VLOOKUP(C47,Нации!B$3:E$10,4,0),База!B$30:H$38,7,0)+F47+VLOOKUP(VLOOKUP(C47,Нации!$B$3:$E$10,4,0),База!$B$30:$M$38,10,0),"")</f>
        <v/>
      </c>
      <c r="M47" s="226" t="str">
        <f>IF($C47&lt;&gt;"",$E47*VLOOKUP(VLOOKUP(C47,Нации!B$3:E$10,4,0),База!B$30:H$38,7,0)+G47+VLOOKUP(VLOOKUP(C47,Нации!$B$3:$E$10,4,0),База!$B$30:$M$38,11,0),"")</f>
        <v/>
      </c>
      <c r="N47" s="245" t="str">
        <f>IF($C47&lt;&gt;"",$E47*VLOOKUP(VLOOKUP(C47,Нации!B$3:E$10,4,0),База!B$30:H$38,7,0)+H47+VLOOKUP(VLOOKUP(C47,Нации!$B$3:$E$10,4,0),База!$B$30:$M$38,12,0)+IF(K47&lt;&gt;"",VLOOKUP(K47,Чудеса!A$2:J$99,10,0),0),"")</f>
        <v/>
      </c>
      <c r="O47" s="15" t="str">
        <f>IF(E47,База!$C$26,"")</f>
        <v/>
      </c>
      <c r="P47" s="15" t="str">
        <f ca="1">O47&amp;IF(F47,IF(O47&lt;&gt;"",", ","")&amp;OFFSET(INDIRECT("База!$B$"&amp;P$2),0,F47)&amp;" ("&amp;ROMAN(F47)&amp;IF(F47&lt;HLOOKUP($C47,Наука!$D$1:$J$69,P$1),"*","")&amp;")","")</f>
        <v/>
      </c>
      <c r="Q47" s="15" t="str">
        <f ca="1">P47&amp;IF(G47,IF(P47&lt;&gt;"",", ","")&amp;OFFSET(INDIRECT("База!$B$"&amp;Q$2),0,G47)&amp;" ("&amp;ROMAN(G47)&amp;IF(G47&lt;HLOOKUP($C47,Наука!$D$1:$J$69,Q$1),"*","")&amp;")","")</f>
        <v/>
      </c>
      <c r="R47" s="15" t="str">
        <f ca="1">Q47&amp;IF(H47,IF(Q47&lt;&gt;"",", ","")&amp;OFFSET(INDIRECT("База!$B$"&amp;R$2),0,H47)&amp;" ("&amp;ROMAN(H47)&amp;IF(H47&lt;HLOOKUP($C47,Наука!$D$1:$J$69,R$1),"*","")&amp;")","")</f>
        <v/>
      </c>
      <c r="S47" s="15" t="str">
        <f ca="1">R47&amp;IF(I47,IF(R47&lt;&gt;"",", ","")&amp;OFFSET(INDIRECT("База!$B$"&amp;S$2),0,I47)&amp;" ("&amp;ROMAN(I47)&amp;IF(I47&lt;HLOOKUP($C47,Наука!$D$1:$J$69,S$1),"*","")&amp;")","")</f>
        <v/>
      </c>
      <c r="T47" s="15" t="str">
        <f ca="1">S47&amp;IF(J47,IF(S47&lt;&gt;"",", ","")&amp;OFFSET(База!$B$25,0,J47)&amp;" (защита +3)","")</f>
        <v/>
      </c>
      <c r="U47" s="15" t="str">
        <f ca="1">T47&amp;IF(K47&lt;&gt;"",IF(T47&lt;&gt;"",", ","")&amp;K47&amp;" (Чудо света"&amp;IF(VLOOKUP(K47,Чудеса!A:H,8,0),", "&amp;VLOOKUP(K47,Чудеса!A:G,7,0),"")&amp;")","")</f>
        <v/>
      </c>
      <c r="V47" s="15">
        <f ca="1">OFFSET(База!$O$2,D47,0)</f>
        <v>1000</v>
      </c>
      <c r="W47" s="15" t="str">
        <f ca="1">"[br][b]"&amp;B47&amp;"[/b] (нас: "&amp;D47&amp;"; +"&amp;L47&amp;" "&amp;База!$L$2&amp;", +"&amp;M47&amp;" "&amp;База!$L$3&amp;", "&amp;TEXT(N47,"+#;-#;+0")&amp;" "&amp;База!$L$4&amp;")"&amp;IF(U47&lt;&gt;"",". Постройки: "&amp;U47&amp;".","")</f>
        <v>[br][b][/b] (нас: ; + Мл, + Мн,  ОН)</v>
      </c>
      <c r="X47" s="15" t="str">
        <f t="shared" ca="1" si="19"/>
        <v>[br]Всего население (примерно, с учетом агломераций): 25 250 000  человек.</v>
      </c>
      <c r="Y47" s="15" t="str">
        <f t="shared" si="5"/>
        <v>[br]Всего население (примерно, с учетом агломераций): 000  человек.</v>
      </c>
      <c r="Z47" s="15" t="str">
        <f t="shared" si="6"/>
        <v>[br]Всего население (примерно, с учетом агломераций): 000  человек.</v>
      </c>
      <c r="AA47" s="15" t="str">
        <f t="shared" ca="1" si="7"/>
        <v>[br]Всего население (примерно, с учетом агломераций): 3 130 000  человек.</v>
      </c>
      <c r="AB47" s="15" t="str">
        <f t="shared" ca="1" si="8"/>
        <v>[br]Всего население (примерно, с учетом агломераций): 63 130 000  человек.</v>
      </c>
      <c r="AC47" s="15" t="str">
        <f t="shared" ca="1" si="9"/>
        <v>[br]Всего население (примерно, с учетом агломераций): 16 400 000  человек.</v>
      </c>
      <c r="AD47" s="15" t="str">
        <f t="shared" ca="1" si="10"/>
        <v>[br]Всего население (примерно, с учетом агломераций): 255 000  человек.</v>
      </c>
      <c r="AE47" s="15" t="str">
        <f t="shared" ca="1" si="11"/>
        <v>[br]Всего население (примерно, с учетом агломераций): 5 000  человек.</v>
      </c>
      <c r="AG47" s="15" t="str">
        <f t="shared" si="20"/>
        <v/>
      </c>
      <c r="AH47" s="15" t="str">
        <f t="shared" si="12"/>
        <v/>
      </c>
      <c r="AI47" s="15" t="str">
        <f t="shared" si="13"/>
        <v/>
      </c>
      <c r="AJ47" s="15" t="str">
        <f t="shared" si="14"/>
        <v/>
      </c>
      <c r="AK47" s="15" t="str">
        <f t="shared" si="15"/>
        <v/>
      </c>
      <c r="AL47" s="15" t="str">
        <f t="shared" si="16"/>
        <v/>
      </c>
      <c r="AM47" s="15" t="str">
        <f t="shared" si="17"/>
        <v/>
      </c>
      <c r="AN47" s="15" t="str">
        <f t="shared" si="18"/>
        <v/>
      </c>
      <c r="AP47" s="227">
        <f t="shared" si="21"/>
        <v>0</v>
      </c>
    </row>
    <row r="48" spans="1:42" x14ac:dyDescent="0.25">
      <c r="A48" s="15">
        <v>45</v>
      </c>
      <c r="B48" s="15"/>
      <c r="C48" s="15"/>
      <c r="D48" s="15"/>
      <c r="E48" s="15"/>
      <c r="F48" s="40"/>
      <c r="G48" s="40"/>
      <c r="H48" s="40"/>
      <c r="I48" s="40"/>
      <c r="J48" s="40"/>
      <c r="K48" s="15"/>
      <c r="L48" s="226" t="str">
        <f>IF($C48&lt;&gt;"",$E48*VLOOKUP(VLOOKUP(C48,Нации!B$3:E$10,4,0),База!B$30:H$38,7,0)+F48+VLOOKUP(VLOOKUP(C48,Нации!$B$3:$E$10,4,0),База!$B$30:$M$38,10,0),"")</f>
        <v/>
      </c>
      <c r="M48" s="226" t="str">
        <f>IF($C48&lt;&gt;"",$E48*VLOOKUP(VLOOKUP(C48,Нации!B$3:E$10,4,0),База!B$30:H$38,7,0)+G48+VLOOKUP(VLOOKUP(C48,Нации!$B$3:$E$10,4,0),База!$B$30:$M$38,11,0),"")</f>
        <v/>
      </c>
      <c r="N48" s="245" t="str">
        <f>IF($C48&lt;&gt;"",$E48*VLOOKUP(VLOOKUP(C48,Нации!B$3:E$10,4,0),База!B$30:H$38,7,0)+H48+VLOOKUP(VLOOKUP(C48,Нации!$B$3:$E$10,4,0),База!$B$30:$M$38,12,0)+IF(K48&lt;&gt;"",VLOOKUP(K48,Чудеса!A$2:J$99,10,0),0),"")</f>
        <v/>
      </c>
      <c r="O48" s="15" t="str">
        <f>IF(E48,База!$C$26,"")</f>
        <v/>
      </c>
      <c r="P48" s="15" t="str">
        <f ca="1">O48&amp;IF(F48,IF(O48&lt;&gt;"",", ","")&amp;OFFSET(INDIRECT("База!$B$"&amp;P$2),0,F48)&amp;" ("&amp;ROMAN(F48)&amp;IF(F48&lt;HLOOKUP($C48,Наука!$D$1:$J$69,P$1),"*","")&amp;")","")</f>
        <v/>
      </c>
      <c r="Q48" s="15" t="str">
        <f ca="1">P48&amp;IF(G48,IF(P48&lt;&gt;"",", ","")&amp;OFFSET(INDIRECT("База!$B$"&amp;Q$2),0,G48)&amp;" ("&amp;ROMAN(G48)&amp;IF(G48&lt;HLOOKUP($C48,Наука!$D$1:$J$69,Q$1),"*","")&amp;")","")</f>
        <v/>
      </c>
      <c r="R48" s="15" t="str">
        <f ca="1">Q48&amp;IF(H48,IF(Q48&lt;&gt;"",", ","")&amp;OFFSET(INDIRECT("База!$B$"&amp;R$2),0,H48)&amp;" ("&amp;ROMAN(H48)&amp;IF(H48&lt;HLOOKUP($C48,Наука!$D$1:$J$69,R$1),"*","")&amp;")","")</f>
        <v/>
      </c>
      <c r="S48" s="15" t="str">
        <f ca="1">R48&amp;IF(I48,IF(R48&lt;&gt;"",", ","")&amp;OFFSET(INDIRECT("База!$B$"&amp;S$2),0,I48)&amp;" ("&amp;ROMAN(I48)&amp;IF(I48&lt;HLOOKUP($C48,Наука!$D$1:$J$69,S$1),"*","")&amp;")","")</f>
        <v/>
      </c>
      <c r="T48" s="15" t="str">
        <f ca="1">S48&amp;IF(J48,IF(S48&lt;&gt;"",", ","")&amp;OFFSET(База!$B$25,0,J48)&amp;" (защита +3)","")</f>
        <v/>
      </c>
      <c r="U48" s="15" t="str">
        <f ca="1">T48&amp;IF(K48&lt;&gt;"",IF(T48&lt;&gt;"",", ","")&amp;K48&amp;" (Чудо света"&amp;IF(VLOOKUP(K48,Чудеса!A:H,8,0),", "&amp;VLOOKUP(K48,Чудеса!A:G,7,0),"")&amp;")","")</f>
        <v/>
      </c>
      <c r="V48" s="15">
        <f ca="1">OFFSET(База!$O$2,D48,0)</f>
        <v>1000</v>
      </c>
      <c r="W48" s="15" t="str">
        <f ca="1">"[br][b]"&amp;B48&amp;"[/b] (нас: "&amp;D48&amp;"; +"&amp;L48&amp;" "&amp;База!$L$2&amp;", +"&amp;M48&amp;" "&amp;База!$L$3&amp;", "&amp;TEXT(N48,"+#;-#;+0")&amp;" "&amp;База!$L$4&amp;")"&amp;IF(U48&lt;&gt;"",". Постройки: "&amp;U48&amp;".","")</f>
        <v>[br][b][/b] (нас: ; + Мл, + Мн,  ОН)</v>
      </c>
      <c r="X48" s="15" t="str">
        <f t="shared" ca="1" si="19"/>
        <v>[br]Всего население (примерно, с учетом агломераций): 25 250 000  человек.</v>
      </c>
      <c r="Y48" s="15" t="str">
        <f t="shared" si="5"/>
        <v>[br]Всего население (примерно, с учетом агломераций): 000  человек.</v>
      </c>
      <c r="Z48" s="15" t="str">
        <f t="shared" si="6"/>
        <v>[br]Всего население (примерно, с учетом агломераций): 000  человек.</v>
      </c>
      <c r="AA48" s="15" t="str">
        <f t="shared" ca="1" si="7"/>
        <v>[br]Всего население (примерно, с учетом агломераций): 3 130 000  человек.</v>
      </c>
      <c r="AB48" s="15" t="str">
        <f t="shared" ca="1" si="8"/>
        <v>[br]Всего население (примерно, с учетом агломераций): 63 130 000  человек.</v>
      </c>
      <c r="AC48" s="15" t="str">
        <f t="shared" ca="1" si="9"/>
        <v>[br]Всего население (примерно, с учетом агломераций): 16 400 000  человек.</v>
      </c>
      <c r="AD48" s="15" t="str">
        <f t="shared" ca="1" si="10"/>
        <v>[br]Всего население (примерно, с учетом агломераций): 255 000  человек.</v>
      </c>
      <c r="AE48" s="15" t="str">
        <f t="shared" ca="1" si="11"/>
        <v>[br]Всего население (примерно, с учетом агломераций): 5 000  человек.</v>
      </c>
      <c r="AG48" s="15" t="str">
        <f t="shared" si="20"/>
        <v/>
      </c>
      <c r="AH48" s="15" t="str">
        <f t="shared" si="12"/>
        <v/>
      </c>
      <c r="AI48" s="15" t="str">
        <f t="shared" si="13"/>
        <v/>
      </c>
      <c r="AJ48" s="15" t="str">
        <f t="shared" si="14"/>
        <v/>
      </c>
      <c r="AK48" s="15" t="str">
        <f t="shared" si="15"/>
        <v/>
      </c>
      <c r="AL48" s="15" t="str">
        <f t="shared" si="16"/>
        <v/>
      </c>
      <c r="AM48" s="15" t="str">
        <f t="shared" si="17"/>
        <v/>
      </c>
      <c r="AN48" s="15" t="str">
        <f t="shared" si="18"/>
        <v/>
      </c>
      <c r="AP48" s="227">
        <f t="shared" si="21"/>
        <v>0</v>
      </c>
    </row>
    <row r="49" spans="1:42" x14ac:dyDescent="0.25">
      <c r="A49" s="15">
        <v>46</v>
      </c>
      <c r="B49" s="15"/>
      <c r="C49" s="15"/>
      <c r="D49" s="15"/>
      <c r="E49" s="15"/>
      <c r="F49" s="40"/>
      <c r="G49" s="40"/>
      <c r="H49" s="40"/>
      <c r="I49" s="40"/>
      <c r="J49" s="40"/>
      <c r="K49" s="15"/>
      <c r="L49" s="226" t="str">
        <f>IF($C49&lt;&gt;"",$E49*VLOOKUP(VLOOKUP(C49,Нации!B$3:E$10,4,0),База!B$30:H$38,7,0)+F49+VLOOKUP(VLOOKUP(C49,Нации!$B$3:$E$10,4,0),База!$B$30:$M$38,10,0),"")</f>
        <v/>
      </c>
      <c r="M49" s="226" t="str">
        <f>IF($C49&lt;&gt;"",$E49*VLOOKUP(VLOOKUP(C49,Нации!B$3:E$10,4,0),База!B$30:H$38,7,0)+G49+VLOOKUP(VLOOKUP(C49,Нации!$B$3:$E$10,4,0),База!$B$30:$M$38,11,0),"")</f>
        <v/>
      </c>
      <c r="N49" s="245" t="str">
        <f>IF($C49&lt;&gt;"",$E49*VLOOKUP(VLOOKUP(C49,Нации!B$3:E$10,4,0),База!B$30:H$38,7,0)+H49+VLOOKUP(VLOOKUP(C49,Нации!$B$3:$E$10,4,0),База!$B$30:$M$38,12,0)+IF(K49&lt;&gt;"",VLOOKUP(K49,Чудеса!A$2:J$99,10,0),0),"")</f>
        <v/>
      </c>
      <c r="O49" s="15" t="str">
        <f>IF(E49,База!$C$26,"")</f>
        <v/>
      </c>
      <c r="P49" s="15" t="str">
        <f ca="1">O49&amp;IF(F49,IF(O49&lt;&gt;"",", ","")&amp;OFFSET(INDIRECT("База!$B$"&amp;P$2),0,F49)&amp;" ("&amp;ROMAN(F49)&amp;IF(F49&lt;HLOOKUP($C49,Наука!$D$1:$J$69,P$1),"*","")&amp;")","")</f>
        <v/>
      </c>
      <c r="Q49" s="15" t="str">
        <f ca="1">P49&amp;IF(G49,IF(P49&lt;&gt;"",", ","")&amp;OFFSET(INDIRECT("База!$B$"&amp;Q$2),0,G49)&amp;" ("&amp;ROMAN(G49)&amp;IF(G49&lt;HLOOKUP($C49,Наука!$D$1:$J$69,Q$1),"*","")&amp;")","")</f>
        <v/>
      </c>
      <c r="R49" s="15" t="str">
        <f ca="1">Q49&amp;IF(H49,IF(Q49&lt;&gt;"",", ","")&amp;OFFSET(INDIRECT("База!$B$"&amp;R$2),0,H49)&amp;" ("&amp;ROMAN(H49)&amp;IF(H49&lt;HLOOKUP($C49,Наука!$D$1:$J$69,R$1),"*","")&amp;")","")</f>
        <v/>
      </c>
      <c r="S49" s="15" t="str">
        <f ca="1">R49&amp;IF(I49,IF(R49&lt;&gt;"",", ","")&amp;OFFSET(INDIRECT("База!$B$"&amp;S$2),0,I49)&amp;" ("&amp;ROMAN(I49)&amp;IF(I49&lt;HLOOKUP($C49,Наука!$D$1:$J$69,S$1),"*","")&amp;")","")</f>
        <v/>
      </c>
      <c r="T49" s="15" t="str">
        <f ca="1">S49&amp;IF(J49,IF(S49&lt;&gt;"",", ","")&amp;OFFSET(База!$B$25,0,J49)&amp;" (защита +3)","")</f>
        <v/>
      </c>
      <c r="U49" s="15" t="str">
        <f ca="1">T49&amp;IF(K49&lt;&gt;"",IF(T49&lt;&gt;"",", ","")&amp;K49&amp;" (Чудо света"&amp;IF(VLOOKUP(K49,Чудеса!A:H,8,0),", "&amp;VLOOKUP(K49,Чудеса!A:G,7,0),"")&amp;")","")</f>
        <v/>
      </c>
      <c r="V49" s="15">
        <f ca="1">OFFSET(База!$O$2,D49,0)</f>
        <v>1000</v>
      </c>
      <c r="W49" s="15" t="str">
        <f ca="1">"[br][b]"&amp;B49&amp;"[/b] (нас: "&amp;D49&amp;"; +"&amp;L49&amp;" "&amp;База!$L$2&amp;", +"&amp;M49&amp;" "&amp;База!$L$3&amp;", "&amp;TEXT(N49,"+#;-#;+0")&amp;" "&amp;База!$L$4&amp;")"&amp;IF(U49&lt;&gt;"",". Постройки: "&amp;U49&amp;".","")</f>
        <v>[br][b][/b] (нас: ; + Мл, + Мн,  ОН)</v>
      </c>
      <c r="X49" s="15" t="str">
        <f t="shared" ca="1" si="19"/>
        <v>[br]Всего население (примерно, с учетом агломераций): 25 250 000  человек.</v>
      </c>
      <c r="Y49" s="15" t="str">
        <f t="shared" si="5"/>
        <v>[br]Всего население (примерно, с учетом агломераций): 000  человек.</v>
      </c>
      <c r="Z49" s="15" t="str">
        <f t="shared" si="6"/>
        <v>[br]Всего население (примерно, с учетом агломераций): 000  человек.</v>
      </c>
      <c r="AA49" s="15" t="str">
        <f t="shared" ca="1" si="7"/>
        <v>[br]Всего население (примерно, с учетом агломераций): 3 130 000  человек.</v>
      </c>
      <c r="AB49" s="15" t="str">
        <f t="shared" ca="1" si="8"/>
        <v>[br]Всего население (примерно, с учетом агломераций): 63 130 000  человек.</v>
      </c>
      <c r="AC49" s="15" t="str">
        <f t="shared" ca="1" si="9"/>
        <v>[br]Всего население (примерно, с учетом агломераций): 16 400 000  человек.</v>
      </c>
      <c r="AD49" s="15" t="str">
        <f t="shared" ca="1" si="10"/>
        <v>[br]Всего население (примерно, с учетом агломераций): 255 000  человек.</v>
      </c>
      <c r="AE49" s="15" t="str">
        <f t="shared" ca="1" si="11"/>
        <v>[br]Всего население (примерно, с учетом агломераций): 5 000  человек.</v>
      </c>
      <c r="AG49" s="15" t="str">
        <f t="shared" si="20"/>
        <v/>
      </c>
      <c r="AH49" s="15" t="str">
        <f t="shared" si="12"/>
        <v/>
      </c>
      <c r="AI49" s="15" t="str">
        <f t="shared" si="13"/>
        <v/>
      </c>
      <c r="AJ49" s="15" t="str">
        <f t="shared" si="14"/>
        <v/>
      </c>
      <c r="AK49" s="15" t="str">
        <f t="shared" si="15"/>
        <v/>
      </c>
      <c r="AL49" s="15" t="str">
        <f t="shared" si="16"/>
        <v/>
      </c>
      <c r="AM49" s="15" t="str">
        <f t="shared" si="17"/>
        <v/>
      </c>
      <c r="AN49" s="15" t="str">
        <f t="shared" si="18"/>
        <v/>
      </c>
      <c r="AP49" s="227">
        <f t="shared" si="21"/>
        <v>0</v>
      </c>
    </row>
    <row r="50" spans="1:42" x14ac:dyDescent="0.25">
      <c r="A50" s="15">
        <v>47</v>
      </c>
      <c r="B50" s="15"/>
      <c r="C50" s="15"/>
      <c r="D50" s="15"/>
      <c r="E50" s="15"/>
      <c r="F50" s="40"/>
      <c r="G50" s="40"/>
      <c r="H50" s="40"/>
      <c r="I50" s="40"/>
      <c r="J50" s="40"/>
      <c r="K50" s="15"/>
      <c r="L50" s="226" t="str">
        <f>IF($C50&lt;&gt;"",$E50*VLOOKUP(VLOOKUP(C50,Нации!B$3:E$10,4,0),База!B$30:H$38,7,0)+F50+VLOOKUP(VLOOKUP(C50,Нации!$B$3:$E$10,4,0),База!$B$30:$M$38,10,0),"")</f>
        <v/>
      </c>
      <c r="M50" s="226" t="str">
        <f>IF($C50&lt;&gt;"",$E50*VLOOKUP(VLOOKUP(C50,Нации!B$3:E$10,4,0),База!B$30:H$38,7,0)+G50+VLOOKUP(VLOOKUP(C50,Нации!$B$3:$E$10,4,0),База!$B$30:$M$38,11,0),"")</f>
        <v/>
      </c>
      <c r="N50" s="245" t="str">
        <f>IF($C50&lt;&gt;"",$E50*VLOOKUP(VLOOKUP(C50,Нации!B$3:E$10,4,0),База!B$30:H$38,7,0)+H50+VLOOKUP(VLOOKUP(C50,Нации!$B$3:$E$10,4,0),База!$B$30:$M$38,12,0)+IF(K50&lt;&gt;"",VLOOKUP(K50,Чудеса!A$2:J$99,10,0),0),"")</f>
        <v/>
      </c>
      <c r="O50" s="15" t="str">
        <f>IF(E50,База!$C$26,"")</f>
        <v/>
      </c>
      <c r="P50" s="15" t="str">
        <f ca="1">O50&amp;IF(F50,IF(O50&lt;&gt;"",", ","")&amp;OFFSET(INDIRECT("База!$B$"&amp;P$2),0,F50)&amp;" ("&amp;ROMAN(F50)&amp;IF(F50&lt;HLOOKUP($C50,Наука!$D$1:$J$69,P$1),"*","")&amp;")","")</f>
        <v/>
      </c>
      <c r="Q50" s="15" t="str">
        <f ca="1">P50&amp;IF(G50,IF(P50&lt;&gt;"",", ","")&amp;OFFSET(INDIRECT("База!$B$"&amp;Q$2),0,G50)&amp;" ("&amp;ROMAN(G50)&amp;IF(G50&lt;HLOOKUP($C50,Наука!$D$1:$J$69,Q$1),"*","")&amp;")","")</f>
        <v/>
      </c>
      <c r="R50" s="15" t="str">
        <f ca="1">Q50&amp;IF(H50,IF(Q50&lt;&gt;"",", ","")&amp;OFFSET(INDIRECT("База!$B$"&amp;R$2),0,H50)&amp;" ("&amp;ROMAN(H50)&amp;IF(H50&lt;HLOOKUP($C50,Наука!$D$1:$J$69,R$1),"*","")&amp;")","")</f>
        <v/>
      </c>
      <c r="S50" s="15" t="str">
        <f ca="1">R50&amp;IF(I50,IF(R50&lt;&gt;"",", ","")&amp;OFFSET(INDIRECT("База!$B$"&amp;S$2),0,I50)&amp;" ("&amp;ROMAN(I50)&amp;IF(I50&lt;HLOOKUP($C50,Наука!$D$1:$J$69,S$1),"*","")&amp;")","")</f>
        <v/>
      </c>
      <c r="T50" s="15" t="str">
        <f ca="1">S50&amp;IF(J50,IF(S50&lt;&gt;"",", ","")&amp;OFFSET(База!$B$25,0,J50)&amp;" (защита +3)","")</f>
        <v/>
      </c>
      <c r="U50" s="15" t="str">
        <f ca="1">T50&amp;IF(K50&lt;&gt;"",IF(T50&lt;&gt;"",", ","")&amp;K50&amp;" (Чудо света"&amp;IF(VLOOKUP(K50,Чудеса!A:H,8,0),", "&amp;VLOOKUP(K50,Чудеса!A:G,7,0),"")&amp;")","")</f>
        <v/>
      </c>
      <c r="V50" s="15">
        <f ca="1">OFFSET(База!$O$2,D50,0)</f>
        <v>1000</v>
      </c>
      <c r="W50" s="15" t="str">
        <f ca="1">"[br][b]"&amp;B50&amp;"[/b] (нас: "&amp;D50&amp;"; +"&amp;L50&amp;" "&amp;База!$L$2&amp;", +"&amp;M50&amp;" "&amp;База!$L$3&amp;", "&amp;TEXT(N50,"+#;-#;+0")&amp;" "&amp;База!$L$4&amp;")"&amp;IF(U50&lt;&gt;"",". Постройки: "&amp;U50&amp;".","")</f>
        <v>[br][b][/b] (нас: ; + Мл, + Мн,  ОН)</v>
      </c>
      <c r="X50" s="15" t="str">
        <f t="shared" ca="1" si="19"/>
        <v>[br]Всего население (примерно, с учетом агломераций): 25 250 000  человек.</v>
      </c>
      <c r="Y50" s="15" t="str">
        <f t="shared" si="5"/>
        <v>[br]Всего население (примерно, с учетом агломераций): 000  человек.</v>
      </c>
      <c r="Z50" s="15" t="str">
        <f t="shared" si="6"/>
        <v>[br]Всего население (примерно, с учетом агломераций): 000  человек.</v>
      </c>
      <c r="AA50" s="15" t="str">
        <f t="shared" ca="1" si="7"/>
        <v>[br]Всего население (примерно, с учетом агломераций): 3 130 000  человек.</v>
      </c>
      <c r="AB50" s="15" t="str">
        <f t="shared" ca="1" si="8"/>
        <v>[br]Всего население (примерно, с учетом агломераций): 63 130 000  человек.</v>
      </c>
      <c r="AC50" s="15" t="str">
        <f t="shared" ca="1" si="9"/>
        <v>[br]Всего население (примерно, с учетом агломераций): 16 400 000  человек.</v>
      </c>
      <c r="AD50" s="15" t="str">
        <f t="shared" ca="1" si="10"/>
        <v>[br]Всего население (примерно, с учетом агломераций): 255 000  человек.</v>
      </c>
      <c r="AE50" s="15" t="str">
        <f t="shared" ca="1" si="11"/>
        <v>[br]Всего население (примерно, с учетом агломераций): 5 000  человек.</v>
      </c>
      <c r="AG50" s="15" t="str">
        <f t="shared" si="20"/>
        <v/>
      </c>
      <c r="AH50" s="15" t="str">
        <f t="shared" si="12"/>
        <v/>
      </c>
      <c r="AI50" s="15" t="str">
        <f t="shared" si="13"/>
        <v/>
      </c>
      <c r="AJ50" s="15" t="str">
        <f t="shared" si="14"/>
        <v/>
      </c>
      <c r="AK50" s="15" t="str">
        <f t="shared" si="15"/>
        <v/>
      </c>
      <c r="AL50" s="15" t="str">
        <f t="shared" si="16"/>
        <v/>
      </c>
      <c r="AM50" s="15" t="str">
        <f t="shared" si="17"/>
        <v/>
      </c>
      <c r="AN50" s="15" t="str">
        <f t="shared" si="18"/>
        <v/>
      </c>
      <c r="AP50" s="227">
        <f t="shared" si="21"/>
        <v>0</v>
      </c>
    </row>
    <row r="51" spans="1:42" x14ac:dyDescent="0.25">
      <c r="A51" s="15">
        <v>48</v>
      </c>
      <c r="B51" s="15"/>
      <c r="C51" s="15"/>
      <c r="D51" s="15"/>
      <c r="E51" s="15"/>
      <c r="F51" s="40"/>
      <c r="G51" s="40"/>
      <c r="H51" s="40"/>
      <c r="I51" s="40"/>
      <c r="J51" s="40"/>
      <c r="K51" s="15"/>
      <c r="L51" s="226" t="str">
        <f>IF($C51&lt;&gt;"",$E51*VLOOKUP(VLOOKUP(C51,Нации!B$3:E$10,4,0),База!B$30:H$38,7,0)+F51+VLOOKUP(VLOOKUP(C51,Нации!$B$3:$E$10,4,0),База!$B$30:$M$38,10,0),"")</f>
        <v/>
      </c>
      <c r="M51" s="226" t="str">
        <f>IF($C51&lt;&gt;"",$E51*VLOOKUP(VLOOKUP(C51,Нации!B$3:E$10,4,0),База!B$30:H$38,7,0)+G51+VLOOKUP(VLOOKUP(C51,Нации!$B$3:$E$10,4,0),База!$B$30:$M$38,11,0),"")</f>
        <v/>
      </c>
      <c r="N51" s="245" t="str">
        <f>IF($C51&lt;&gt;"",$E51*VLOOKUP(VLOOKUP(C51,Нации!B$3:E$10,4,0),База!B$30:H$38,7,0)+H51+VLOOKUP(VLOOKUP(C51,Нации!$B$3:$E$10,4,0),База!$B$30:$M$38,12,0)+IF(K51&lt;&gt;"",VLOOKUP(K51,Чудеса!A$2:J$99,10,0),0),"")</f>
        <v/>
      </c>
      <c r="O51" s="15" t="str">
        <f>IF(E51,База!$C$26,"")</f>
        <v/>
      </c>
      <c r="P51" s="15" t="str">
        <f ca="1">O51&amp;IF(F51,IF(O51&lt;&gt;"",", ","")&amp;OFFSET(INDIRECT("База!$B$"&amp;P$2),0,F51)&amp;" ("&amp;ROMAN(F51)&amp;IF(F51&lt;HLOOKUP($C51,Наука!$D$1:$J$69,P$1),"*","")&amp;")","")</f>
        <v/>
      </c>
      <c r="Q51" s="15" t="str">
        <f ca="1">P51&amp;IF(G51,IF(P51&lt;&gt;"",", ","")&amp;OFFSET(INDIRECT("База!$B$"&amp;Q$2),0,G51)&amp;" ("&amp;ROMAN(G51)&amp;IF(G51&lt;HLOOKUP($C51,Наука!$D$1:$J$69,Q$1),"*","")&amp;")","")</f>
        <v/>
      </c>
      <c r="R51" s="15" t="str">
        <f ca="1">Q51&amp;IF(H51,IF(Q51&lt;&gt;"",", ","")&amp;OFFSET(INDIRECT("База!$B$"&amp;R$2),0,H51)&amp;" ("&amp;ROMAN(H51)&amp;IF(H51&lt;HLOOKUP($C51,Наука!$D$1:$J$69,R$1),"*","")&amp;")","")</f>
        <v/>
      </c>
      <c r="S51" s="15" t="str">
        <f ca="1">R51&amp;IF(I51,IF(R51&lt;&gt;"",", ","")&amp;OFFSET(INDIRECT("База!$B$"&amp;S$2),0,I51)&amp;" ("&amp;ROMAN(I51)&amp;IF(I51&lt;HLOOKUP($C51,Наука!$D$1:$J$69,S$1),"*","")&amp;")","")</f>
        <v/>
      </c>
      <c r="T51" s="15" t="str">
        <f ca="1">S51&amp;IF(J51,IF(S51&lt;&gt;"",", ","")&amp;OFFSET(База!$B$25,0,J51)&amp;" (защита +3)","")</f>
        <v/>
      </c>
      <c r="U51" s="15" t="str">
        <f ca="1">T51&amp;IF(K51&lt;&gt;"",IF(T51&lt;&gt;"",", ","")&amp;K51&amp;" (Чудо света"&amp;IF(VLOOKUP(K51,Чудеса!A:H,8,0),", "&amp;VLOOKUP(K51,Чудеса!A:G,7,0),"")&amp;")","")</f>
        <v/>
      </c>
      <c r="V51" s="15">
        <f ca="1">OFFSET(База!$O$2,D51,0)</f>
        <v>1000</v>
      </c>
      <c r="W51" s="15" t="str">
        <f ca="1">"[br][b]"&amp;B51&amp;"[/b] (нас: "&amp;D51&amp;"; +"&amp;L51&amp;" "&amp;База!$L$2&amp;", +"&amp;M51&amp;" "&amp;База!$L$3&amp;", "&amp;TEXT(N51,"+#;-#;+0")&amp;" "&amp;База!$L$4&amp;")"&amp;IF(U51&lt;&gt;"",". Постройки: "&amp;U51&amp;".","")</f>
        <v>[br][b][/b] (нас: ; + Мл, + Мн,  ОН)</v>
      </c>
      <c r="X51" s="15" t="str">
        <f t="shared" ca="1" si="19"/>
        <v>[br]Всего население (примерно, с учетом агломераций): 25 250 000  человек.</v>
      </c>
      <c r="Y51" s="15" t="str">
        <f t="shared" si="5"/>
        <v>[br]Всего население (примерно, с учетом агломераций): 000  человек.</v>
      </c>
      <c r="Z51" s="15" t="str">
        <f t="shared" si="6"/>
        <v>[br]Всего население (примерно, с учетом агломераций): 000  человек.</v>
      </c>
      <c r="AA51" s="15" t="str">
        <f t="shared" ca="1" si="7"/>
        <v>[br]Всего население (примерно, с учетом агломераций): 3 130 000  человек.</v>
      </c>
      <c r="AB51" s="15" t="str">
        <f t="shared" ca="1" si="8"/>
        <v>[br]Всего население (примерно, с учетом агломераций): 63 130 000  человек.</v>
      </c>
      <c r="AC51" s="15" t="str">
        <f t="shared" ca="1" si="9"/>
        <v>[br]Всего население (примерно, с учетом агломераций): 16 400 000  человек.</v>
      </c>
      <c r="AD51" s="15" t="str">
        <f t="shared" ca="1" si="10"/>
        <v>[br]Всего население (примерно, с учетом агломераций): 255 000  человек.</v>
      </c>
      <c r="AE51" s="15" t="str">
        <f t="shared" ca="1" si="11"/>
        <v>[br]Всего население (примерно, с учетом агломераций): 5 000  человек.</v>
      </c>
      <c r="AG51" s="15" t="str">
        <f t="shared" si="20"/>
        <v/>
      </c>
      <c r="AH51" s="15" t="str">
        <f t="shared" si="12"/>
        <v/>
      </c>
      <c r="AI51" s="15" t="str">
        <f t="shared" si="13"/>
        <v/>
      </c>
      <c r="AJ51" s="15" t="str">
        <f t="shared" si="14"/>
        <v/>
      </c>
      <c r="AK51" s="15" t="str">
        <f t="shared" si="15"/>
        <v/>
      </c>
      <c r="AL51" s="15" t="str">
        <f t="shared" si="16"/>
        <v/>
      </c>
      <c r="AM51" s="15" t="str">
        <f t="shared" si="17"/>
        <v/>
      </c>
      <c r="AN51" s="15" t="str">
        <f t="shared" si="18"/>
        <v/>
      </c>
      <c r="AP51" s="227">
        <f t="shared" si="21"/>
        <v>0</v>
      </c>
    </row>
    <row r="52" spans="1:42" x14ac:dyDescent="0.25">
      <c r="A52" s="15">
        <v>49</v>
      </c>
      <c r="B52" s="15"/>
      <c r="C52" s="15"/>
      <c r="D52" s="15"/>
      <c r="E52" s="15"/>
      <c r="F52" s="40"/>
      <c r="G52" s="40"/>
      <c r="H52" s="40"/>
      <c r="I52" s="40"/>
      <c r="J52" s="40"/>
      <c r="K52" s="15"/>
      <c r="L52" s="226" t="str">
        <f>IF($C52&lt;&gt;"",$E52*VLOOKUP(VLOOKUP(C52,Нации!B$3:E$10,4,0),База!B$30:H$38,7,0)+F52+VLOOKUP(VLOOKUP(C52,Нации!$B$3:$E$10,4,0),База!$B$30:$M$38,10,0),"")</f>
        <v/>
      </c>
      <c r="M52" s="226" t="str">
        <f>IF($C52&lt;&gt;"",$E52*VLOOKUP(VLOOKUP(C52,Нации!B$3:E$10,4,0),База!B$30:H$38,7,0)+G52+VLOOKUP(VLOOKUP(C52,Нации!$B$3:$E$10,4,0),База!$B$30:$M$38,11,0),"")</f>
        <v/>
      </c>
      <c r="N52" s="245" t="str">
        <f>IF($C52&lt;&gt;"",$E52*VLOOKUP(VLOOKUP(C52,Нации!B$3:E$10,4,0),База!B$30:H$38,7,0)+H52+VLOOKUP(VLOOKUP(C52,Нации!$B$3:$E$10,4,0),База!$B$30:$M$38,12,0)+IF(K52&lt;&gt;"",VLOOKUP(K52,Чудеса!A$2:J$99,10,0),0),"")</f>
        <v/>
      </c>
      <c r="O52" s="15" t="str">
        <f>IF(E52,База!$C$26,"")</f>
        <v/>
      </c>
      <c r="P52" s="15" t="str">
        <f ca="1">O52&amp;IF(F52,IF(O52&lt;&gt;"",", ","")&amp;OFFSET(INDIRECT("База!$B$"&amp;P$2),0,F52)&amp;" ("&amp;ROMAN(F52)&amp;IF(F52&lt;HLOOKUP($C52,Наука!$D$1:$J$69,P$1),"*","")&amp;")","")</f>
        <v/>
      </c>
      <c r="Q52" s="15" t="str">
        <f ca="1">P52&amp;IF(G52,IF(P52&lt;&gt;"",", ","")&amp;OFFSET(INDIRECT("База!$B$"&amp;Q$2),0,G52)&amp;" ("&amp;ROMAN(G52)&amp;IF(G52&lt;HLOOKUP($C52,Наука!$D$1:$J$69,Q$1),"*","")&amp;")","")</f>
        <v/>
      </c>
      <c r="R52" s="15" t="str">
        <f ca="1">Q52&amp;IF(H52,IF(Q52&lt;&gt;"",", ","")&amp;OFFSET(INDIRECT("База!$B$"&amp;R$2),0,H52)&amp;" ("&amp;ROMAN(H52)&amp;IF(H52&lt;HLOOKUP($C52,Наука!$D$1:$J$69,R$1),"*","")&amp;")","")</f>
        <v/>
      </c>
      <c r="S52" s="15" t="str">
        <f ca="1">R52&amp;IF(I52,IF(R52&lt;&gt;"",", ","")&amp;OFFSET(INDIRECT("База!$B$"&amp;S$2),0,I52)&amp;" ("&amp;ROMAN(I52)&amp;IF(I52&lt;HLOOKUP($C52,Наука!$D$1:$J$69,S$1),"*","")&amp;")","")</f>
        <v/>
      </c>
      <c r="T52" s="15" t="str">
        <f ca="1">S52&amp;IF(J52,IF(S52&lt;&gt;"",", ","")&amp;OFFSET(База!$B$25,0,J52)&amp;" (защита +3)","")</f>
        <v/>
      </c>
      <c r="U52" s="15" t="str">
        <f ca="1">T52&amp;IF(K52&lt;&gt;"",IF(T52&lt;&gt;"",", ","")&amp;K52&amp;" (Чудо света"&amp;IF(VLOOKUP(K52,Чудеса!A:H,8,0),", "&amp;VLOOKUP(K52,Чудеса!A:G,7,0),"")&amp;")","")</f>
        <v/>
      </c>
      <c r="V52" s="15">
        <f ca="1">OFFSET(База!$O$2,D52,0)</f>
        <v>1000</v>
      </c>
      <c r="W52" s="15" t="str">
        <f ca="1">"[br][b]"&amp;B52&amp;"[/b] (нас: "&amp;D52&amp;"; +"&amp;L52&amp;" "&amp;База!$L$2&amp;", +"&amp;M52&amp;" "&amp;База!$L$3&amp;", "&amp;TEXT(N52,"+#;-#;+0")&amp;" "&amp;База!$L$4&amp;")"&amp;IF(U52&lt;&gt;"",". Постройки: "&amp;U52&amp;".","")</f>
        <v>[br][b][/b] (нас: ; + Мл, + Мн,  ОН)</v>
      </c>
      <c r="X52" s="15" t="str">
        <f t="shared" ca="1" si="19"/>
        <v>[br]Всего население (примерно, с учетом агломераций): 25 250 000  человек.</v>
      </c>
      <c r="Y52" s="15" t="str">
        <f t="shared" si="5"/>
        <v>[br]Всего население (примерно, с учетом агломераций): 000  человек.</v>
      </c>
      <c r="Z52" s="15" t="str">
        <f t="shared" si="6"/>
        <v>[br]Всего население (примерно, с учетом агломераций): 000  человек.</v>
      </c>
      <c r="AA52" s="15" t="str">
        <f t="shared" ca="1" si="7"/>
        <v>[br]Всего население (примерно, с учетом агломераций): 3 130 000  человек.</v>
      </c>
      <c r="AB52" s="15" t="str">
        <f t="shared" ca="1" si="8"/>
        <v>[br]Всего население (примерно, с учетом агломераций): 63 130 000  человек.</v>
      </c>
      <c r="AC52" s="15" t="str">
        <f t="shared" ca="1" si="9"/>
        <v>[br]Всего население (примерно, с учетом агломераций): 16 400 000  человек.</v>
      </c>
      <c r="AD52" s="15" t="str">
        <f t="shared" ca="1" si="10"/>
        <v>[br]Всего население (примерно, с учетом агломераций): 255 000  человек.</v>
      </c>
      <c r="AE52" s="15" t="str">
        <f t="shared" ca="1" si="11"/>
        <v>[br]Всего население (примерно, с учетом агломераций): 5 000  человек.</v>
      </c>
      <c r="AG52" s="15" t="str">
        <f t="shared" si="20"/>
        <v/>
      </c>
      <c r="AH52" s="15" t="str">
        <f t="shared" si="12"/>
        <v/>
      </c>
      <c r="AI52" s="15" t="str">
        <f t="shared" si="13"/>
        <v/>
      </c>
      <c r="AJ52" s="15" t="str">
        <f t="shared" si="14"/>
        <v/>
      </c>
      <c r="AK52" s="15" t="str">
        <f t="shared" si="15"/>
        <v/>
      </c>
      <c r="AL52" s="15" t="str">
        <f t="shared" si="16"/>
        <v/>
      </c>
      <c r="AM52" s="15" t="str">
        <f t="shared" si="17"/>
        <v/>
      </c>
      <c r="AN52" s="15" t="str">
        <f t="shared" si="18"/>
        <v/>
      </c>
      <c r="AP52" s="227">
        <f t="shared" si="21"/>
        <v>0</v>
      </c>
    </row>
    <row r="53" spans="1:42" x14ac:dyDescent="0.25">
      <c r="A53" s="15">
        <v>50</v>
      </c>
      <c r="B53" s="15"/>
      <c r="C53" s="15"/>
      <c r="D53" s="15"/>
      <c r="E53" s="15"/>
      <c r="F53" s="40"/>
      <c r="G53" s="40"/>
      <c r="H53" s="40"/>
      <c r="I53" s="40"/>
      <c r="J53" s="40"/>
      <c r="K53" s="15"/>
      <c r="L53" s="226" t="str">
        <f>IF($C53&lt;&gt;"",$E53*VLOOKUP(VLOOKUP(C53,Нации!B$3:E$10,4,0),База!B$30:H$38,7,0)+F53+VLOOKUP(VLOOKUP(C53,Нации!$B$3:$E$10,4,0),База!$B$30:$M$38,10,0),"")</f>
        <v/>
      </c>
      <c r="M53" s="226" t="str">
        <f>IF($C53&lt;&gt;"",$E53*VLOOKUP(VLOOKUP(C53,Нации!B$3:E$10,4,0),База!B$30:H$38,7,0)+G53+VLOOKUP(VLOOKUP(C53,Нации!$B$3:$E$10,4,0),База!$B$30:$M$38,11,0),"")</f>
        <v/>
      </c>
      <c r="N53" s="245" t="str">
        <f>IF($C53&lt;&gt;"",$E53*VLOOKUP(VLOOKUP(C53,Нации!B$3:E$10,4,0),База!B$30:H$38,7,0)+H53+VLOOKUP(VLOOKUP(C53,Нации!$B$3:$E$10,4,0),База!$B$30:$M$38,12,0)+IF(K53&lt;&gt;"",VLOOKUP(K53,Чудеса!A$2:J$99,10,0),0),"")</f>
        <v/>
      </c>
      <c r="O53" s="15" t="str">
        <f>IF(E53,База!$C$26,"")</f>
        <v/>
      </c>
      <c r="P53" s="15" t="str">
        <f ca="1">O53&amp;IF(F53,IF(O53&lt;&gt;"",", ","")&amp;OFFSET(INDIRECT("База!$B$"&amp;P$2),0,F53)&amp;" ("&amp;ROMAN(F53)&amp;IF(F53&lt;HLOOKUP($C53,Наука!$D$1:$J$69,P$1),"*","")&amp;")","")</f>
        <v/>
      </c>
      <c r="Q53" s="15" t="str">
        <f ca="1">P53&amp;IF(G53,IF(P53&lt;&gt;"",", ","")&amp;OFFSET(INDIRECT("База!$B$"&amp;Q$2),0,G53)&amp;" ("&amp;ROMAN(G53)&amp;IF(G53&lt;HLOOKUP($C53,Наука!$D$1:$J$69,Q$1),"*","")&amp;")","")</f>
        <v/>
      </c>
      <c r="R53" s="15" t="str">
        <f ca="1">Q53&amp;IF(H53,IF(Q53&lt;&gt;"",", ","")&amp;OFFSET(INDIRECT("База!$B$"&amp;R$2),0,H53)&amp;" ("&amp;ROMAN(H53)&amp;IF(H53&lt;HLOOKUP($C53,Наука!$D$1:$J$69,R$1),"*","")&amp;")","")</f>
        <v/>
      </c>
      <c r="S53" s="15" t="str">
        <f ca="1">R53&amp;IF(I53,IF(R53&lt;&gt;"",", ","")&amp;OFFSET(INDIRECT("База!$B$"&amp;S$2),0,I53)&amp;" ("&amp;ROMAN(I53)&amp;IF(I53&lt;HLOOKUP($C53,Наука!$D$1:$J$69,S$1),"*","")&amp;")","")</f>
        <v/>
      </c>
      <c r="T53" s="15" t="str">
        <f ca="1">S53&amp;IF(J53,IF(S53&lt;&gt;"",", ","")&amp;OFFSET(База!$B$25,0,J53)&amp;" (защита +3)","")</f>
        <v/>
      </c>
      <c r="U53" s="15" t="str">
        <f ca="1">T53&amp;IF(K53&lt;&gt;"",IF(T53&lt;&gt;"",", ","")&amp;K53&amp;" (Чудо света"&amp;IF(VLOOKUP(K53,Чудеса!A:H,8,0),", "&amp;VLOOKUP(K53,Чудеса!A:G,7,0),"")&amp;")","")</f>
        <v/>
      </c>
      <c r="V53" s="15">
        <f ca="1">OFFSET(База!$O$2,D53,0)</f>
        <v>1000</v>
      </c>
      <c r="W53" s="15" t="str">
        <f ca="1">"[br][b]"&amp;B53&amp;"[/b] (нас: "&amp;D53&amp;"; +"&amp;L53&amp;" "&amp;База!$L$2&amp;", +"&amp;M53&amp;" "&amp;База!$L$3&amp;", "&amp;TEXT(N53,"+#;-#;+0")&amp;" "&amp;База!$L$4&amp;")"&amp;IF(U53&lt;&gt;"",". Постройки: "&amp;U53&amp;".","")</f>
        <v>[br][b][/b] (нас: ; + Мл, + Мн,  ОН)</v>
      </c>
      <c r="X53" s="15" t="str">
        <f t="shared" ca="1" si="19"/>
        <v>[br]Всего население (примерно, с учетом агломераций): 25 250 000  человек.</v>
      </c>
      <c r="Y53" s="15" t="str">
        <f t="shared" si="5"/>
        <v>[br]Всего население (примерно, с учетом агломераций): 000  человек.</v>
      </c>
      <c r="Z53" s="15" t="str">
        <f t="shared" si="6"/>
        <v>[br]Всего население (примерно, с учетом агломераций): 000  человек.</v>
      </c>
      <c r="AA53" s="15" t="str">
        <f t="shared" ca="1" si="7"/>
        <v>[br]Всего население (примерно, с учетом агломераций): 3 130 000  человек.</v>
      </c>
      <c r="AB53" s="15" t="str">
        <f t="shared" ca="1" si="8"/>
        <v>[br]Всего население (примерно, с учетом агломераций): 63 130 000  человек.</v>
      </c>
      <c r="AC53" s="15" t="str">
        <f t="shared" ca="1" si="9"/>
        <v>[br]Всего население (примерно, с учетом агломераций): 16 400 000  человек.</v>
      </c>
      <c r="AD53" s="15" t="str">
        <f t="shared" ca="1" si="10"/>
        <v>[br]Всего население (примерно, с учетом агломераций): 255 000  человек.</v>
      </c>
      <c r="AE53" s="15" t="str">
        <f t="shared" ca="1" si="11"/>
        <v>[br]Всего население (примерно, с учетом агломераций): 5 000  человек.</v>
      </c>
      <c r="AG53" s="15" t="str">
        <f t="shared" si="20"/>
        <v/>
      </c>
      <c r="AH53" s="15" t="str">
        <f t="shared" si="12"/>
        <v/>
      </c>
      <c r="AI53" s="15" t="str">
        <f t="shared" si="13"/>
        <v/>
      </c>
      <c r="AJ53" s="15" t="str">
        <f t="shared" si="14"/>
        <v/>
      </c>
      <c r="AK53" s="15" t="str">
        <f t="shared" si="15"/>
        <v/>
      </c>
      <c r="AL53" s="15" t="str">
        <f t="shared" si="16"/>
        <v/>
      </c>
      <c r="AM53" s="15" t="str">
        <f t="shared" si="17"/>
        <v/>
      </c>
      <c r="AN53" s="15" t="str">
        <f t="shared" si="18"/>
        <v/>
      </c>
      <c r="AP53" s="227">
        <f t="shared" si="21"/>
        <v>0</v>
      </c>
    </row>
    <row r="54" spans="1:42" x14ac:dyDescent="0.25">
      <c r="X54" t="str">
        <f ca="1">"[br]Всего население (примерно, с учетом агломераций): "&amp;TEXT(SUMIF($C4:$C53,X3,$V4:$V53),"### ### 000")&amp;"  человек."</f>
        <v>[br]Всего население (примерно, с учетом агломераций): 25 250 000  человек.</v>
      </c>
      <c r="Y54" t="str">
        <f t="shared" ref="Y54:AE54" si="22">"[br]Всего население (примерно, с учетом агломераций): "&amp;TEXT(SUMIF($C4:$C53,Y3,$V4:$V53),"### ### 000")&amp;"  человек."</f>
        <v>[br]Всего население (примерно, с учетом агломераций): 000  человек.</v>
      </c>
      <c r="Z54" t="str">
        <f t="shared" si="22"/>
        <v>[br]Всего население (примерно, с учетом агломераций): 000  человек.</v>
      </c>
      <c r="AA54" t="str">
        <f t="shared" ca="1" si="22"/>
        <v>[br]Всего население (примерно, с учетом агломераций): 3 130 000  человек.</v>
      </c>
      <c r="AB54" t="str">
        <f t="shared" ca="1" si="22"/>
        <v>[br]Всего население (примерно, с учетом агломераций): 63 130 000  человек.</v>
      </c>
      <c r="AC54" t="str">
        <f t="shared" ca="1" si="22"/>
        <v>[br]Всего население (примерно, с учетом агломераций): 16 400 000  человек.</v>
      </c>
      <c r="AD54" t="str">
        <f t="shared" ca="1" si="22"/>
        <v>[br]Всего население (примерно, с учетом агломераций): 255 000  человек.</v>
      </c>
      <c r="AE54" t="str">
        <f t="shared" ca="1" si="22"/>
        <v>[br]Всего население (примерно, с учетом агломераций): 5 000  человек.</v>
      </c>
    </row>
    <row r="56" spans="1:42" x14ac:dyDescent="0.25">
      <c r="M56"/>
    </row>
  </sheetData>
  <autoFilter ref="A3:AP54"/>
  <mergeCells count="2">
    <mergeCell ref="X2:AE2"/>
    <mergeCell ref="AH2:AN2"/>
  </mergeCells>
  <dataValidations count="1">
    <dataValidation type="list" allowBlank="1" showInputMessage="1" showErrorMessage="1" sqref="C1:C1048576">
      <formula1>Нации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6"/>
  <sheetViews>
    <sheetView tabSelected="1" workbookViewId="0">
      <pane ySplit="1" topLeftCell="A29" activePane="bottomLeft" state="frozen"/>
      <selection pane="bottomLeft" activeCell="L46" sqref="L46"/>
    </sheetView>
  </sheetViews>
  <sheetFormatPr defaultRowHeight="15" x14ac:dyDescent="0.25"/>
  <cols>
    <col min="1" max="1" width="3.140625" customWidth="1"/>
    <col min="2" max="2" width="25.140625" bestFit="1" customWidth="1"/>
    <col min="3" max="3" width="3.140625" bestFit="1" customWidth="1"/>
    <col min="4" max="4" width="6.7109375" style="1" customWidth="1"/>
    <col min="5" max="6" width="6.7109375" style="1" hidden="1" customWidth="1"/>
    <col min="7" max="10" width="6.7109375" style="1" customWidth="1"/>
    <col min="11" max="11" width="6.7109375" style="1" hidden="1" customWidth="1"/>
    <col min="12" max="12" width="33.5703125" style="38" customWidth="1"/>
    <col min="13" max="13" width="1.42578125" bestFit="1" customWidth="1"/>
  </cols>
  <sheetData>
    <row r="1" spans="1:21" ht="69" customHeight="1" x14ac:dyDescent="0.25">
      <c r="A1" s="15"/>
      <c r="B1" s="15" t="s">
        <v>45</v>
      </c>
      <c r="C1" s="15">
        <v>0</v>
      </c>
      <c r="D1" s="16" t="str">
        <f>Нации!B3</f>
        <v>Русь</v>
      </c>
      <c r="E1" s="16" t="str">
        <f>Нации!B4</f>
        <v>Римская империя</v>
      </c>
      <c r="F1" s="16" t="str">
        <f>Нации!B5</f>
        <v>Индия</v>
      </c>
      <c r="G1" s="16" t="str">
        <f>Нации!B6</f>
        <v>Великие монголы</v>
      </c>
      <c r="H1" s="16" t="str">
        <f>Нации!B7</f>
        <v>Поднебесная</v>
      </c>
      <c r="I1" s="16" t="str">
        <f>Нации!B8</f>
        <v>Индонезия</v>
      </c>
      <c r="J1" s="16" t="str">
        <f>Нации!B9</f>
        <v>Египет</v>
      </c>
      <c r="K1" s="16" t="str">
        <f>Нации!B10</f>
        <v>Зулусы</v>
      </c>
      <c r="L1" s="32" t="s">
        <v>46</v>
      </c>
      <c r="M1" t="s">
        <v>37</v>
      </c>
    </row>
    <row r="2" spans="1:21" s="12" customFormat="1" x14ac:dyDescent="0.25">
      <c r="A2" s="193">
        <v>1</v>
      </c>
      <c r="B2" s="18" t="s">
        <v>47</v>
      </c>
      <c r="C2" s="17">
        <v>1</v>
      </c>
      <c r="D2" s="19">
        <v>1</v>
      </c>
      <c r="E2" s="19"/>
      <c r="F2" s="19"/>
      <c r="G2" s="19">
        <v>1</v>
      </c>
      <c r="H2" s="19"/>
      <c r="I2" s="19">
        <v>1</v>
      </c>
      <c r="J2" s="19"/>
      <c r="K2" s="19"/>
      <c r="L2" s="33" t="s">
        <v>48</v>
      </c>
      <c r="M2" t="s">
        <v>37</v>
      </c>
      <c r="N2" s="12" t="str">
        <f t="shared" ref="N2:N45" si="0">N1&amp;IF(($A2&gt;$A1)*COUNTIFS(D2:D45,"&lt;&gt;"&amp;"",$A2:$A45,$A2),CHOOSE($A2,"[br]Технологии древности (","[br]Технологии средневековья (","[br]Технологии Нового времени (","[br]Технологии Современности (","[br]Технологии будущего (")&amp;(COUNTIFS(D2:D45,"&lt;&gt;"&amp;"",$A2:$A45,$A2))&amp;"): ","")&amp;IF(D2&lt;&gt;"",$B2&amp;"; ","")</f>
        <v xml:space="preserve">[br]Технологии древности (9): Верховая езда; </v>
      </c>
      <c r="O2" s="12" t="str">
        <f t="shared" ref="O2:O45" si="1">O1&amp;IF(($A2&gt;$A1)*COUNTIFS(E2:E45,"&lt;&gt;"&amp;"",$A2:$A45,$A2),CHOOSE($A2,"[br]Технологии древности (","[br]Технологии средневековья (","[br]Технологии Нового времени (","[br]Технологии Современности (","[br]Технологии будущего (")&amp;(COUNTIFS(E2:E45,"&lt;&gt;"&amp;"",$A2:$A45,$A2))&amp;"): ","")&amp;IF(E2&lt;&gt;"",$B2&amp;"; ","")</f>
        <v xml:space="preserve">[br]Технологии древности (5): </v>
      </c>
      <c r="P2" s="12" t="str">
        <f t="shared" ref="P2:P45" si="2">P1&amp;IF(($A2&gt;$A1)*COUNTIFS(F2:F45,"&lt;&gt;"&amp;"",$A2:$A45,$A2),CHOOSE($A2,"[br]Технологии древности (","[br]Технологии средневековья (","[br]Технологии Нового времени (","[br]Технологии Современности (","[br]Технологии будущего (")&amp;(COUNTIFS(F2:F45,"&lt;&gt;"&amp;"",$A2:$A45,$A2))&amp;"): ","")&amp;IF(F2&lt;&gt;"",$B2&amp;"; ","")</f>
        <v xml:space="preserve">[br]Технологии древности (6): </v>
      </c>
      <c r="Q2" s="12" t="str">
        <f t="shared" ref="Q2:Q45" si="3">Q1&amp;IF(($A2&gt;$A1)*COUNTIFS(G2:G45,"&lt;&gt;"&amp;"",$A2:$A45,$A2),CHOOSE($A2,"[br]Технологии древности (","[br]Технологии средневековья (","[br]Технологии Нового времени (","[br]Технологии Современности (","[br]Технологии будущего (")&amp;(COUNTIFS(G2:G45,"&lt;&gt;"&amp;"",$A2:$A45,$A2))&amp;"): ","")&amp;IF(G2&lt;&gt;"",$B2&amp;"; ","")</f>
        <v xml:space="preserve">[br]Технологии древности (7): Верховая езда; </v>
      </c>
      <c r="R2" s="12" t="str">
        <f t="shared" ref="R2:R45" si="4">R1&amp;IF(($A2&gt;$A1)*COUNTIFS(H2:H45,"&lt;&gt;"&amp;"",$A2:$A45,$A2),CHOOSE($A2,"[br]Технологии древности (","[br]Технологии средневековья (","[br]Технологии Нового времени (","[br]Технологии Современности (","[br]Технологии будущего (")&amp;(COUNTIFS(H2:H45,"&lt;&gt;"&amp;"",$A2:$A45,$A2))&amp;"): ","")&amp;IF(H2&lt;&gt;"",$B2&amp;"; ","")</f>
        <v xml:space="preserve">[br]Технологии древности (8): </v>
      </c>
      <c r="S2" s="12" t="str">
        <f t="shared" ref="S2:S45" si="5">S1&amp;IF(($A2&gt;$A1)*COUNTIFS(I2:I45,"&lt;&gt;"&amp;"",$A2:$A45,$A2),CHOOSE($A2,"[br]Технологии древности (","[br]Технологии средневековья (","[br]Технологии Нового времени (","[br]Технологии Современности (","[br]Технологии будущего (")&amp;(COUNTIFS(I2:I45,"&lt;&gt;"&amp;"",$A2:$A45,$A2))&amp;"): ","")&amp;IF(I2&lt;&gt;"",$B2&amp;"; ","")</f>
        <v xml:space="preserve">[br]Технологии древности (8): Верховая езда; </v>
      </c>
      <c r="T2" s="12" t="str">
        <f t="shared" ref="T2:T45" si="6">T1&amp;IF(($A2&gt;$A1)*COUNTIFS(J2:J45,"&lt;&gt;"&amp;"",$A2:$A45,$A2),CHOOSE($A2,"[br]Технологии древности (","[br]Технологии средневековья (","[br]Технологии Нового времени (","[br]Технологии Современности (","[br]Технологии будущего (")&amp;(COUNTIFS(J2:J45,"&lt;&gt;"&amp;"",$A2:$A45,$A2))&amp;"): ","")&amp;IF(J2&lt;&gt;"",$B2&amp;"; ","")</f>
        <v xml:space="preserve">[br]Технологии древности (9): </v>
      </c>
      <c r="U2" s="12" t="str">
        <f t="shared" ref="U2:U45" si="7">U1&amp;IF(($A2&gt;$A1)*COUNTIFS(K2:K45,"&lt;&gt;"&amp;"",$A2:$A45,$A2),CHOOSE($A2,"[br]Технологии древности (","[br]Технологии средневековья (","[br]Технологии Нового времени (","[br]Технологии Современности (","[br]Технологии будущего (")&amp;(COUNTIFS(K2:K45,"&lt;&gt;"&amp;"",$A2:$A45,$A2))&amp;"): ","")&amp;IF(K2&lt;&gt;"",$B2&amp;"; ","")</f>
        <v xml:space="preserve">[br]Технологии древности (1): </v>
      </c>
    </row>
    <row r="3" spans="1:21" s="12" customFormat="1" x14ac:dyDescent="0.25">
      <c r="A3" s="194">
        <v>1</v>
      </c>
      <c r="B3" s="18" t="s">
        <v>49</v>
      </c>
      <c r="C3" s="17">
        <f>C2+1</f>
        <v>2</v>
      </c>
      <c r="D3" s="19">
        <v>1</v>
      </c>
      <c r="E3" s="19">
        <v>1</v>
      </c>
      <c r="F3" s="19">
        <v>1</v>
      </c>
      <c r="G3" s="19">
        <v>1</v>
      </c>
      <c r="H3" s="19">
        <v>1</v>
      </c>
      <c r="I3" s="19">
        <v>1</v>
      </c>
      <c r="J3" s="19">
        <v>1</v>
      </c>
      <c r="K3" s="19"/>
      <c r="L3" s="33" t="s">
        <v>50</v>
      </c>
      <c r="M3" t="s">
        <v>37</v>
      </c>
      <c r="N3" s="12" t="str">
        <f t="shared" si="0"/>
        <v xml:space="preserve">[br]Технологии древности (9): Верховая езда; Гончарное дело; </v>
      </c>
      <c r="O3" s="12" t="str">
        <f t="shared" si="1"/>
        <v xml:space="preserve">[br]Технологии древности (5): Гончарное дело; </v>
      </c>
      <c r="P3" s="12" t="str">
        <f t="shared" si="2"/>
        <v xml:space="preserve">[br]Технологии древности (6): Гончарное дело; </v>
      </c>
      <c r="Q3" s="12" t="str">
        <f t="shared" si="3"/>
        <v xml:space="preserve">[br]Технологии древности (7): Верховая езда; Гончарное дело; </v>
      </c>
      <c r="R3" s="12" t="str">
        <f t="shared" si="4"/>
        <v xml:space="preserve">[br]Технологии древности (8): Гончарное дело; </v>
      </c>
      <c r="S3" s="12" t="str">
        <f t="shared" si="5"/>
        <v xml:space="preserve">[br]Технологии древности (8): Верховая езда; Гончарное дело; </v>
      </c>
      <c r="T3" s="12" t="str">
        <f t="shared" si="6"/>
        <v xml:space="preserve">[br]Технологии древности (9): Гончарное дело; </v>
      </c>
      <c r="U3" s="12" t="str">
        <f t="shared" si="7"/>
        <v xml:space="preserve">[br]Технологии древности (1): </v>
      </c>
    </row>
    <row r="4" spans="1:21" s="12" customFormat="1" x14ac:dyDescent="0.25">
      <c r="A4" s="194">
        <v>1</v>
      </c>
      <c r="B4" s="18" t="s">
        <v>51</v>
      </c>
      <c r="C4" s="17">
        <f t="shared" ref="C4:C45" si="8">C3+1</f>
        <v>3</v>
      </c>
      <c r="D4" s="19">
        <v>1</v>
      </c>
      <c r="E4" s="19">
        <v>1</v>
      </c>
      <c r="F4" s="19"/>
      <c r="G4" s="19"/>
      <c r="H4" s="19">
        <v>1</v>
      </c>
      <c r="I4" s="19">
        <v>1</v>
      </c>
      <c r="J4" s="19">
        <v>1</v>
      </c>
      <c r="K4" s="19"/>
      <c r="L4" s="33" t="s">
        <v>52</v>
      </c>
      <c r="M4" t="s">
        <v>37</v>
      </c>
      <c r="N4" s="12" t="str">
        <f t="shared" si="0"/>
        <v xml:space="preserve">[br]Технологии древности (9): Верховая езда; Гончарное дело; Письменность; </v>
      </c>
      <c r="O4" s="12" t="str">
        <f t="shared" si="1"/>
        <v xml:space="preserve">[br]Технологии древности (5): Гончарное дело; Письменность; </v>
      </c>
      <c r="P4" s="12" t="str">
        <f t="shared" si="2"/>
        <v xml:space="preserve">[br]Технологии древности (6): Гончарное дело; </v>
      </c>
      <c r="Q4" s="12" t="str">
        <f t="shared" si="3"/>
        <v xml:space="preserve">[br]Технологии древности (7): Верховая езда; Гончарное дело; </v>
      </c>
      <c r="R4" s="12" t="str">
        <f t="shared" si="4"/>
        <v xml:space="preserve">[br]Технологии древности (8): Гончарное дело; Письменность; </v>
      </c>
      <c r="S4" s="12" t="str">
        <f t="shared" si="5"/>
        <v xml:space="preserve">[br]Технологии древности (8): Верховая езда; Гончарное дело; Письменность; </v>
      </c>
      <c r="T4" s="12" t="str">
        <f t="shared" si="6"/>
        <v xml:space="preserve">[br]Технологии древности (9): Гончарное дело; Письменность; </v>
      </c>
      <c r="U4" s="12" t="str">
        <f t="shared" si="7"/>
        <v xml:space="preserve">[br]Технологии древности (1): </v>
      </c>
    </row>
    <row r="5" spans="1:21" s="12" customFormat="1" x14ac:dyDescent="0.25">
      <c r="A5" s="194">
        <v>1</v>
      </c>
      <c r="B5" s="18" t="s">
        <v>53</v>
      </c>
      <c r="C5" s="17">
        <f t="shared" si="8"/>
        <v>4</v>
      </c>
      <c r="D5" s="19">
        <v>1</v>
      </c>
      <c r="E5" s="19">
        <v>1</v>
      </c>
      <c r="F5" s="19"/>
      <c r="G5" s="19">
        <v>1</v>
      </c>
      <c r="H5" s="19">
        <v>1</v>
      </c>
      <c r="I5" s="19">
        <v>1</v>
      </c>
      <c r="J5" s="19">
        <v>1</v>
      </c>
      <c r="K5" s="19">
        <v>1</v>
      </c>
      <c r="L5" s="33" t="s">
        <v>54</v>
      </c>
      <c r="M5" t="s">
        <v>37</v>
      </c>
      <c r="N5" s="12" t="str">
        <f t="shared" si="0"/>
        <v xml:space="preserve">[br]Технологии древности (9): Верховая езда; Гончарное дело; Письменность; Охота; </v>
      </c>
      <c r="O5" s="12" t="str">
        <f t="shared" si="1"/>
        <v xml:space="preserve">[br]Технологии древности (5): Гончарное дело; Письменность; Охота; </v>
      </c>
      <c r="P5" s="12" t="str">
        <f t="shared" si="2"/>
        <v xml:space="preserve">[br]Технологии древности (6): Гончарное дело; </v>
      </c>
      <c r="Q5" s="12" t="str">
        <f t="shared" si="3"/>
        <v xml:space="preserve">[br]Технологии древности (7): Верховая езда; Гончарное дело; Охота; </v>
      </c>
      <c r="R5" s="12" t="str">
        <f t="shared" si="4"/>
        <v xml:space="preserve">[br]Технологии древности (8): Гончарное дело; Письменность; Охота; </v>
      </c>
      <c r="S5" s="12" t="str">
        <f t="shared" si="5"/>
        <v xml:space="preserve">[br]Технологии древности (8): Верховая езда; Гончарное дело; Письменность; Охота; </v>
      </c>
      <c r="T5" s="12" t="str">
        <f t="shared" si="6"/>
        <v xml:space="preserve">[br]Технологии древности (9): Гончарное дело; Письменность; Охота; </v>
      </c>
      <c r="U5" s="12" t="str">
        <f t="shared" si="7"/>
        <v xml:space="preserve">[br]Технологии древности (1): Охота; </v>
      </c>
    </row>
    <row r="6" spans="1:21" s="12" customFormat="1" x14ac:dyDescent="0.25">
      <c r="A6" s="194">
        <v>1</v>
      </c>
      <c r="B6" s="18" t="s">
        <v>55</v>
      </c>
      <c r="C6" s="17">
        <f t="shared" si="8"/>
        <v>5</v>
      </c>
      <c r="D6" s="19">
        <v>1</v>
      </c>
      <c r="E6" s="19"/>
      <c r="F6" s="19">
        <v>1</v>
      </c>
      <c r="G6" s="19">
        <v>1</v>
      </c>
      <c r="H6" s="19">
        <v>1</v>
      </c>
      <c r="I6" s="19">
        <v>1</v>
      </c>
      <c r="J6" s="19">
        <v>1</v>
      </c>
      <c r="K6" s="19"/>
      <c r="L6" s="33" t="s">
        <v>56</v>
      </c>
      <c r="M6" t="s">
        <v>37</v>
      </c>
      <c r="N6" s="12" t="str">
        <f t="shared" si="0"/>
        <v xml:space="preserve">[br]Технологии древности (9): Верховая езда; Гончарное дело; Письменность; Охота; Навигация; </v>
      </c>
      <c r="O6" s="12" t="str">
        <f t="shared" si="1"/>
        <v xml:space="preserve">[br]Технологии древности (5): Гончарное дело; Письменность; Охота; </v>
      </c>
      <c r="P6" s="12" t="str">
        <f t="shared" si="2"/>
        <v xml:space="preserve">[br]Технологии древности (6): Гончарное дело; Навигация; </v>
      </c>
      <c r="Q6" s="12" t="str">
        <f t="shared" si="3"/>
        <v xml:space="preserve">[br]Технологии древности (7): Верховая езда; Гончарное дело; Охота; Навигация; </v>
      </c>
      <c r="R6" s="12" t="str">
        <f t="shared" si="4"/>
        <v xml:space="preserve">[br]Технологии древности (8): Гончарное дело; Письменность; Охота; Навигация; </v>
      </c>
      <c r="S6" s="12" t="str">
        <f t="shared" si="5"/>
        <v xml:space="preserve">[br]Технологии древности (8): Верховая езда; Гончарное дело; Письменность; Охота; Навигация; </v>
      </c>
      <c r="T6" s="12" t="str">
        <f t="shared" si="6"/>
        <v xml:space="preserve">[br]Технологии древности (9): Гончарное дело; Письменность; Охота; Навигация; </v>
      </c>
      <c r="U6" s="12" t="str">
        <f t="shared" si="7"/>
        <v xml:space="preserve">[br]Технологии древности (1): Охота; </v>
      </c>
    </row>
    <row r="7" spans="1:21" s="12" customFormat="1" x14ac:dyDescent="0.25">
      <c r="A7" s="194">
        <v>1</v>
      </c>
      <c r="B7" s="18" t="s">
        <v>57</v>
      </c>
      <c r="C7" s="17">
        <f t="shared" si="8"/>
        <v>6</v>
      </c>
      <c r="D7" s="19">
        <v>1</v>
      </c>
      <c r="E7" s="19">
        <v>1</v>
      </c>
      <c r="F7" s="19"/>
      <c r="G7" s="19"/>
      <c r="H7" s="19"/>
      <c r="I7" s="19"/>
      <c r="J7" s="19">
        <v>1</v>
      </c>
      <c r="K7" s="19"/>
      <c r="L7" s="33" t="s">
        <v>58</v>
      </c>
      <c r="M7" t="s">
        <v>37</v>
      </c>
      <c r="N7" s="12" t="str">
        <f t="shared" si="0"/>
        <v xml:space="preserve">[br]Технологии древности (9): Верховая езда; Гончарное дело; Письменность; Охота; Навигация; Обработка железа; </v>
      </c>
      <c r="O7" s="12" t="str">
        <f t="shared" si="1"/>
        <v xml:space="preserve">[br]Технологии древности (5): Гончарное дело; Письменность; Охота; Обработка железа; </v>
      </c>
      <c r="P7" s="12" t="str">
        <f t="shared" si="2"/>
        <v xml:space="preserve">[br]Технологии древности (6): Гончарное дело; Навигация; </v>
      </c>
      <c r="Q7" s="12" t="str">
        <f t="shared" si="3"/>
        <v xml:space="preserve">[br]Технологии древности (7): Верховая езда; Гончарное дело; Охота; Навигация; </v>
      </c>
      <c r="R7" s="12" t="str">
        <f t="shared" si="4"/>
        <v xml:space="preserve">[br]Технологии древности (8): Гончарное дело; Письменность; Охота; Навигация; </v>
      </c>
      <c r="S7" s="12" t="str">
        <f t="shared" si="5"/>
        <v xml:space="preserve">[br]Технологии древности (8): Верховая езда; Гончарное дело; Письменность; Охота; Навигация; </v>
      </c>
      <c r="T7" s="12" t="str">
        <f t="shared" si="6"/>
        <v xml:space="preserve">[br]Технологии древности (9): Гончарное дело; Письменность; Охота; Навигация; Обработка железа; </v>
      </c>
      <c r="U7" s="12" t="str">
        <f t="shared" si="7"/>
        <v xml:space="preserve">[br]Технологии древности (1): Охота; </v>
      </c>
    </row>
    <row r="8" spans="1:21" s="12" customFormat="1" x14ac:dyDescent="0.25">
      <c r="A8" s="194">
        <v>1</v>
      </c>
      <c r="B8" s="18" t="s">
        <v>59</v>
      </c>
      <c r="C8" s="17">
        <f t="shared" si="8"/>
        <v>7</v>
      </c>
      <c r="D8" s="19">
        <v>1</v>
      </c>
      <c r="E8" s="19"/>
      <c r="F8" s="19">
        <v>1</v>
      </c>
      <c r="G8" s="19">
        <v>1</v>
      </c>
      <c r="H8" s="19">
        <v>1</v>
      </c>
      <c r="I8" s="19"/>
      <c r="J8" s="19">
        <v>1</v>
      </c>
      <c r="K8" s="19"/>
      <c r="L8" s="33" t="s">
        <v>125</v>
      </c>
      <c r="M8" t="s">
        <v>37</v>
      </c>
      <c r="N8" s="12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</v>
      </c>
      <c r="O8" s="12" t="str">
        <f t="shared" si="1"/>
        <v xml:space="preserve">[br]Технологии древности (5): Гончарное дело; Письменность; Охота; Обработка железа; </v>
      </c>
      <c r="P8" s="12" t="str">
        <f t="shared" si="2"/>
        <v xml:space="preserve">[br]Технологии древности (6): Гончарное дело; Навигация; Философия; </v>
      </c>
      <c r="Q8" s="12" t="str">
        <f t="shared" si="3"/>
        <v xml:space="preserve">[br]Технологии древности (7): Верховая езда; Гончарное дело; Охота; Навигация; Философия; </v>
      </c>
      <c r="R8" s="12" t="str">
        <f t="shared" si="4"/>
        <v xml:space="preserve">[br]Технологии древности (8): Гончарное дело; Письменность; Охота; Навигация; Философия; </v>
      </c>
      <c r="S8" s="12" t="str">
        <f t="shared" si="5"/>
        <v xml:space="preserve">[br]Технологии древности (8): Верховая езда; Гончарное дело; Письменность; Охота; Навигация; </v>
      </c>
      <c r="T8" s="12" t="str">
        <f t="shared" si="6"/>
        <v xml:space="preserve">[br]Технологии древности (9): Гончарное дело; Письменность; Охота; Навигация; Обработка железа; Философия; </v>
      </c>
      <c r="U8" s="12" t="str">
        <f t="shared" si="7"/>
        <v xml:space="preserve">[br]Технологии древности (1): Охота; </v>
      </c>
    </row>
    <row r="9" spans="1:21" s="12" customFormat="1" x14ac:dyDescent="0.25">
      <c r="A9" s="194">
        <v>1</v>
      </c>
      <c r="B9" s="18" t="s">
        <v>60</v>
      </c>
      <c r="C9" s="17">
        <f t="shared" si="8"/>
        <v>8</v>
      </c>
      <c r="D9" s="19">
        <v>1</v>
      </c>
      <c r="E9" s="19"/>
      <c r="F9" s="19">
        <v>1</v>
      </c>
      <c r="G9" s="19">
        <v>1</v>
      </c>
      <c r="H9" s="19">
        <v>1</v>
      </c>
      <c r="I9" s="19">
        <v>1</v>
      </c>
      <c r="J9" s="19">
        <v>1</v>
      </c>
      <c r="K9" s="19"/>
      <c r="L9" s="33" t="s">
        <v>61</v>
      </c>
      <c r="M9" t="s">
        <v>37</v>
      </c>
      <c r="N9" s="12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</v>
      </c>
      <c r="O9" s="12" t="str">
        <f t="shared" si="1"/>
        <v xml:space="preserve">[br]Технологии древности (5): Гончарное дело; Письменность; Охота; Обработка железа; </v>
      </c>
      <c r="P9" s="12" t="str">
        <f t="shared" si="2"/>
        <v xml:space="preserve">[br]Технологии древности (6): Гончарное дело; Навигация; Философия; Каменная кладка; </v>
      </c>
      <c r="Q9" s="12" t="str">
        <f t="shared" si="3"/>
        <v xml:space="preserve">[br]Технологии древности (7): Верховая езда; Гончарное дело; Охота; Навигация; Философия; Каменная кладка; </v>
      </c>
      <c r="R9" s="12" t="str">
        <f t="shared" si="4"/>
        <v xml:space="preserve">[br]Технологии древности (8): Гончарное дело; Письменность; Охота; Навигация; Философия; Каменная кладка; </v>
      </c>
      <c r="S9" s="12" t="str">
        <f t="shared" si="5"/>
        <v xml:space="preserve">[br]Технологии древности (8): Верховая езда; Гончарное дело; Письменность; Охота; Навигация; Каменная кладка; </v>
      </c>
      <c r="T9" s="12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</v>
      </c>
      <c r="U9" s="12" t="str">
        <f t="shared" si="7"/>
        <v xml:space="preserve">[br]Технологии древности (1): Охота; </v>
      </c>
    </row>
    <row r="10" spans="1:21" s="12" customFormat="1" x14ac:dyDescent="0.25">
      <c r="A10" s="194">
        <v>1</v>
      </c>
      <c r="B10" s="18" t="s">
        <v>62</v>
      </c>
      <c r="C10" s="17">
        <f t="shared" si="8"/>
        <v>9</v>
      </c>
      <c r="D10" s="19"/>
      <c r="E10" s="19"/>
      <c r="F10" s="19">
        <v>1</v>
      </c>
      <c r="G10" s="19"/>
      <c r="H10" s="19">
        <v>1</v>
      </c>
      <c r="I10" s="19">
        <v>1</v>
      </c>
      <c r="J10" s="19">
        <v>1</v>
      </c>
      <c r="K10" s="19"/>
      <c r="L10" s="33" t="s">
        <v>63</v>
      </c>
      <c r="M10" t="s">
        <v>37</v>
      </c>
      <c r="N10" s="12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</v>
      </c>
      <c r="O10" s="12" t="str">
        <f t="shared" si="1"/>
        <v xml:space="preserve">[br]Технологии древности (5): Гончарное дело; Письменность; Охота; Обработка железа; </v>
      </c>
      <c r="P10" s="12" t="str">
        <f t="shared" si="2"/>
        <v xml:space="preserve">[br]Технологии древности (6): Гончарное дело; Навигация; Философия; Каменная кладка; Деньги; </v>
      </c>
      <c r="Q10" s="12" t="str">
        <f t="shared" si="3"/>
        <v xml:space="preserve">[br]Технологии древности (7): Верховая езда; Гончарное дело; Охота; Навигация; Философия; Каменная кладка; </v>
      </c>
      <c r="R10" s="12" t="str">
        <f t="shared" si="4"/>
        <v xml:space="preserve">[br]Технологии древности (8): Гончарное дело; Письменность; Охота; Навигация; Философия; Каменная кладка; Деньги; </v>
      </c>
      <c r="S10" s="12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</v>
      </c>
      <c r="T10" s="12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</v>
      </c>
      <c r="U10" s="12" t="str">
        <f t="shared" si="7"/>
        <v xml:space="preserve">[br]Технологии древности (1): Охота; </v>
      </c>
    </row>
    <row r="11" spans="1:21" s="12" customFormat="1" x14ac:dyDescent="0.25">
      <c r="A11" s="195">
        <v>1</v>
      </c>
      <c r="B11" s="18" t="s">
        <v>65</v>
      </c>
      <c r="C11" s="17">
        <f t="shared" si="8"/>
        <v>10</v>
      </c>
      <c r="D11" s="19">
        <v>1</v>
      </c>
      <c r="E11" s="19">
        <v>1</v>
      </c>
      <c r="F11" s="19">
        <v>1</v>
      </c>
      <c r="G11" s="19">
        <v>1</v>
      </c>
      <c r="H11" s="19">
        <v>1</v>
      </c>
      <c r="I11" s="19">
        <v>1</v>
      </c>
      <c r="J11" s="19">
        <v>1</v>
      </c>
      <c r="K11" s="19"/>
      <c r="L11" s="33" t="s">
        <v>64</v>
      </c>
      <c r="M11" t="s">
        <v>37</v>
      </c>
      <c r="N11" s="12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</v>
      </c>
      <c r="O11" s="12" t="str">
        <f t="shared" si="1"/>
        <v xml:space="preserve">[br]Технологии древности (5): Гончарное дело; Письменность; Охота; Обработка железа; Свод законов; </v>
      </c>
      <c r="P11" s="12" t="str">
        <f t="shared" si="2"/>
        <v xml:space="preserve">[br]Технологии древности (6): Гончарное дело; Навигация; Философия; Каменная кладка; Деньги; Свод законов; </v>
      </c>
      <c r="Q11" s="12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</v>
      </c>
      <c r="R11" s="12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</v>
      </c>
      <c r="S11" s="12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</v>
      </c>
      <c r="T11" s="12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</v>
      </c>
      <c r="U11" s="12" t="str">
        <f t="shared" si="7"/>
        <v xml:space="preserve">[br]Технологии древности (1): Охота; </v>
      </c>
    </row>
    <row r="12" spans="1:21" s="11" customFormat="1" x14ac:dyDescent="0.25">
      <c r="A12" s="199">
        <v>2</v>
      </c>
      <c r="B12" s="21" t="s">
        <v>66</v>
      </c>
      <c r="C12" s="20">
        <f t="shared" si="8"/>
        <v>11</v>
      </c>
      <c r="D12" s="22">
        <v>1</v>
      </c>
      <c r="E12" s="22">
        <v>1</v>
      </c>
      <c r="F12" s="22">
        <v>1</v>
      </c>
      <c r="G12" s="22">
        <v>1</v>
      </c>
      <c r="H12" s="22">
        <v>1</v>
      </c>
      <c r="I12" s="22"/>
      <c r="J12" s="22">
        <v>1</v>
      </c>
      <c r="K12" s="22"/>
      <c r="L12" s="34" t="s">
        <v>67</v>
      </c>
      <c r="M12" t="s">
        <v>37</v>
      </c>
      <c r="N12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</v>
      </c>
      <c r="O12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</v>
      </c>
      <c r="P12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</v>
      </c>
      <c r="Q12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</v>
      </c>
      <c r="R12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</v>
      </c>
      <c r="S12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</v>
      </c>
      <c r="T12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</v>
      </c>
      <c r="U12" s="11" t="str">
        <f t="shared" si="7"/>
        <v xml:space="preserve">[br]Технологии древности (1): Охота; </v>
      </c>
    </row>
    <row r="13" spans="1:21" s="11" customFormat="1" x14ac:dyDescent="0.25">
      <c r="A13" s="200">
        <v>2</v>
      </c>
      <c r="B13" s="21" t="s">
        <v>68</v>
      </c>
      <c r="C13" s="20">
        <f t="shared" si="8"/>
        <v>12</v>
      </c>
      <c r="D13" s="22">
        <v>1</v>
      </c>
      <c r="E13" s="22"/>
      <c r="F13" s="22"/>
      <c r="G13" s="22"/>
      <c r="H13" s="22"/>
      <c r="I13" s="22"/>
      <c r="J13" s="22"/>
      <c r="K13" s="22"/>
      <c r="L13" s="34" t="s">
        <v>69</v>
      </c>
      <c r="M13" t="s">
        <v>37</v>
      </c>
      <c r="N13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</v>
      </c>
      <c r="O13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</v>
      </c>
      <c r="P13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</v>
      </c>
      <c r="Q13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</v>
      </c>
      <c r="R13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</v>
      </c>
      <c r="S13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</v>
      </c>
      <c r="T13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</v>
      </c>
      <c r="U13" s="11" t="str">
        <f t="shared" si="7"/>
        <v xml:space="preserve">[br]Технологии древности (1): Охота; </v>
      </c>
    </row>
    <row r="14" spans="1:21" s="11" customFormat="1" x14ac:dyDescent="0.25">
      <c r="A14" s="200">
        <v>2</v>
      </c>
      <c r="B14" s="21" t="s">
        <v>70</v>
      </c>
      <c r="C14" s="20">
        <f t="shared" si="8"/>
        <v>13</v>
      </c>
      <c r="D14" s="22">
        <v>1</v>
      </c>
      <c r="E14" s="22"/>
      <c r="F14" s="22">
        <v>1</v>
      </c>
      <c r="G14" s="22"/>
      <c r="H14" s="22"/>
      <c r="I14" s="22">
        <v>1</v>
      </c>
      <c r="J14" s="22"/>
      <c r="K14" s="22"/>
      <c r="L14" s="34" t="s">
        <v>71</v>
      </c>
      <c r="M14" t="s">
        <v>37</v>
      </c>
      <c r="N14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</v>
      </c>
      <c r="O14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</v>
      </c>
      <c r="P14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</v>
      </c>
      <c r="Q14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</v>
      </c>
      <c r="R14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</v>
      </c>
      <c r="S14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</v>
      </c>
      <c r="T14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</v>
      </c>
      <c r="U14" s="11" t="str">
        <f t="shared" si="7"/>
        <v xml:space="preserve">[br]Технологии древности (1): Охота; </v>
      </c>
    </row>
    <row r="15" spans="1:21" s="11" customFormat="1" x14ac:dyDescent="0.25">
      <c r="A15" s="200">
        <v>2</v>
      </c>
      <c r="B15" s="21" t="s">
        <v>72</v>
      </c>
      <c r="C15" s="20">
        <f t="shared" si="8"/>
        <v>14</v>
      </c>
      <c r="D15" s="22"/>
      <c r="E15" s="22"/>
      <c r="F15" s="22">
        <v>1</v>
      </c>
      <c r="G15" s="22"/>
      <c r="H15" s="22">
        <v>1</v>
      </c>
      <c r="I15" s="22"/>
      <c r="J15" s="22">
        <v>1</v>
      </c>
      <c r="K15" s="22"/>
      <c r="L15" s="34" t="s">
        <v>73</v>
      </c>
      <c r="M15" t="s">
        <v>37</v>
      </c>
      <c r="N15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</v>
      </c>
      <c r="O15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</v>
      </c>
      <c r="P15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</v>
      </c>
      <c r="Q15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</v>
      </c>
      <c r="R15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</v>
      </c>
      <c r="S15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</v>
      </c>
      <c r="T15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</v>
      </c>
      <c r="U15" s="11" t="str">
        <f t="shared" si="7"/>
        <v xml:space="preserve">[br]Технологии древности (1): Охота; </v>
      </c>
    </row>
    <row r="16" spans="1:21" s="11" customFormat="1" x14ac:dyDescent="0.25">
      <c r="A16" s="200">
        <v>2</v>
      </c>
      <c r="B16" s="21" t="s">
        <v>74</v>
      </c>
      <c r="C16" s="20">
        <f t="shared" si="8"/>
        <v>15</v>
      </c>
      <c r="D16" s="22">
        <v>1</v>
      </c>
      <c r="E16" s="22"/>
      <c r="F16" s="22"/>
      <c r="G16" s="22">
        <v>1</v>
      </c>
      <c r="H16" s="22">
        <v>1</v>
      </c>
      <c r="I16" s="22">
        <v>1</v>
      </c>
      <c r="J16" s="22">
        <v>1</v>
      </c>
      <c r="K16" s="22"/>
      <c r="L16" s="34" t="s">
        <v>75</v>
      </c>
      <c r="M16" t="s">
        <v>37</v>
      </c>
      <c r="N16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</v>
      </c>
      <c r="O16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</v>
      </c>
      <c r="P16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</v>
      </c>
      <c r="Q16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</v>
      </c>
      <c r="R16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</v>
      </c>
      <c r="S16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</v>
      </c>
      <c r="T16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</v>
      </c>
      <c r="U16" s="11" t="str">
        <f t="shared" si="7"/>
        <v xml:space="preserve">[br]Технологии древности (1): Охота; </v>
      </c>
    </row>
    <row r="17" spans="1:21" s="11" customFormat="1" x14ac:dyDescent="0.25">
      <c r="A17" s="200">
        <v>2</v>
      </c>
      <c r="B17" s="21" t="s">
        <v>76</v>
      </c>
      <c r="C17" s="20">
        <f t="shared" si="8"/>
        <v>16</v>
      </c>
      <c r="D17" s="22">
        <v>1</v>
      </c>
      <c r="E17" s="22">
        <v>1</v>
      </c>
      <c r="F17" s="22"/>
      <c r="G17" s="22">
        <v>1</v>
      </c>
      <c r="H17" s="22">
        <v>1</v>
      </c>
      <c r="I17" s="22">
        <v>1</v>
      </c>
      <c r="J17" s="22">
        <v>1</v>
      </c>
      <c r="K17" s="22"/>
      <c r="L17" s="34" t="s">
        <v>77</v>
      </c>
      <c r="M17" t="s">
        <v>37</v>
      </c>
      <c r="N17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</v>
      </c>
      <c r="O17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</v>
      </c>
      <c r="P17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</v>
      </c>
      <c r="Q17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</v>
      </c>
      <c r="R17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</v>
      </c>
      <c r="S17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</v>
      </c>
      <c r="T17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</v>
      </c>
      <c r="U17" s="11" t="str">
        <f t="shared" si="7"/>
        <v xml:space="preserve">[br]Технологии древности (1): Охота; </v>
      </c>
    </row>
    <row r="18" spans="1:21" s="11" customFormat="1" x14ac:dyDescent="0.25">
      <c r="A18" s="200">
        <v>2</v>
      </c>
      <c r="B18" s="21" t="s">
        <v>206</v>
      </c>
      <c r="C18" s="20">
        <f t="shared" si="8"/>
        <v>17</v>
      </c>
      <c r="D18" s="22">
        <v>1</v>
      </c>
      <c r="E18" s="22"/>
      <c r="F18" s="22"/>
      <c r="G18" s="22">
        <v>1</v>
      </c>
      <c r="H18" s="22">
        <v>1</v>
      </c>
      <c r="I18" s="22">
        <v>1</v>
      </c>
      <c r="J18" s="22"/>
      <c r="K18" s="22"/>
      <c r="L18" s="34" t="s">
        <v>78</v>
      </c>
      <c r="M18" t="s">
        <v>37</v>
      </c>
      <c r="N18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</v>
      </c>
      <c r="O18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</v>
      </c>
      <c r="P18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</v>
      </c>
      <c r="Q18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</v>
      </c>
      <c r="R18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</v>
      </c>
      <c r="S18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</v>
      </c>
      <c r="T18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</v>
      </c>
      <c r="U18" s="11" t="str">
        <f t="shared" si="7"/>
        <v xml:space="preserve">[br]Технологии древности (1): Охота; </v>
      </c>
    </row>
    <row r="19" spans="1:21" s="11" customFormat="1" x14ac:dyDescent="0.25">
      <c r="A19" s="200">
        <v>2</v>
      </c>
      <c r="B19" s="21" t="s">
        <v>79</v>
      </c>
      <c r="C19" s="20">
        <f t="shared" si="8"/>
        <v>18</v>
      </c>
      <c r="D19" s="22"/>
      <c r="E19" s="22"/>
      <c r="F19" s="22"/>
      <c r="G19" s="22"/>
      <c r="H19" s="22"/>
      <c r="I19" s="22">
        <v>1</v>
      </c>
      <c r="J19" s="22">
        <v>1</v>
      </c>
      <c r="K19" s="22"/>
      <c r="L19" s="34" t="s">
        <v>126</v>
      </c>
      <c r="M19" t="s">
        <v>37</v>
      </c>
      <c r="N19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</v>
      </c>
      <c r="O19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</v>
      </c>
      <c r="P19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</v>
      </c>
      <c r="Q19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</v>
      </c>
      <c r="R19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</v>
      </c>
      <c r="S19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</v>
      </c>
      <c r="T19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</v>
      </c>
      <c r="U19" s="11" t="str">
        <f t="shared" si="7"/>
        <v xml:space="preserve">[br]Технологии древности (1): Охота; </v>
      </c>
    </row>
    <row r="20" spans="1:21" s="11" customFormat="1" x14ac:dyDescent="0.25">
      <c r="A20" s="200">
        <v>2</v>
      </c>
      <c r="B20" s="21" t="s">
        <v>80</v>
      </c>
      <c r="C20" s="20">
        <f t="shared" si="8"/>
        <v>19</v>
      </c>
      <c r="D20" s="22">
        <v>1</v>
      </c>
      <c r="E20" s="22">
        <v>1</v>
      </c>
      <c r="F20" s="22">
        <v>1</v>
      </c>
      <c r="G20" s="22">
        <v>1</v>
      </c>
      <c r="H20" s="22">
        <v>1</v>
      </c>
      <c r="I20" s="22"/>
      <c r="J20" s="22"/>
      <c r="K20" s="22"/>
      <c r="L20" s="34" t="s">
        <v>127</v>
      </c>
      <c r="M20" t="s">
        <v>37</v>
      </c>
      <c r="N20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</v>
      </c>
      <c r="O20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0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</v>
      </c>
      <c r="Q20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</v>
      </c>
      <c r="R20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</v>
      </c>
      <c r="S20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</v>
      </c>
      <c r="T20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</v>
      </c>
      <c r="U20" s="11" t="str">
        <f t="shared" si="7"/>
        <v xml:space="preserve">[br]Технологии древности (1): Охота; </v>
      </c>
    </row>
    <row r="21" spans="1:21" s="11" customFormat="1" x14ac:dyDescent="0.25">
      <c r="A21" s="201">
        <v>2</v>
      </c>
      <c r="B21" s="21" t="s">
        <v>81</v>
      </c>
      <c r="C21" s="20">
        <f t="shared" si="8"/>
        <v>20</v>
      </c>
      <c r="D21" s="22">
        <v>1</v>
      </c>
      <c r="E21" s="22"/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/>
      <c r="L21" s="34" t="s">
        <v>82</v>
      </c>
      <c r="M21" t="s">
        <v>37</v>
      </c>
      <c r="N21" s="11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</v>
      </c>
      <c r="O21" s="11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1" s="11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</v>
      </c>
      <c r="Q21" s="11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</v>
      </c>
      <c r="R21" s="11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</v>
      </c>
      <c r="S21" s="11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</v>
      </c>
      <c r="T21" s="11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</v>
      </c>
      <c r="U21" s="11" t="str">
        <f t="shared" si="7"/>
        <v xml:space="preserve">[br]Технологии древности (1): Охота; </v>
      </c>
    </row>
    <row r="22" spans="1:21" s="14" customFormat="1" x14ac:dyDescent="0.25">
      <c r="A22" s="196">
        <v>3</v>
      </c>
      <c r="B22" s="24" t="s">
        <v>88</v>
      </c>
      <c r="C22" s="23">
        <f t="shared" si="8"/>
        <v>21</v>
      </c>
      <c r="D22" s="25">
        <v>1</v>
      </c>
      <c r="E22" s="25"/>
      <c r="F22" s="25"/>
      <c r="G22" s="25">
        <v>1</v>
      </c>
      <c r="H22" s="25">
        <v>1</v>
      </c>
      <c r="I22" s="25"/>
      <c r="J22" s="25">
        <v>1</v>
      </c>
      <c r="K22" s="25"/>
      <c r="L22" s="35" t="s">
        <v>89</v>
      </c>
      <c r="M22" t="s">
        <v>37</v>
      </c>
      <c r="N22" s="14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</v>
      </c>
      <c r="O22" s="14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2" s="14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</v>
      </c>
      <c r="Q22" s="14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</v>
      </c>
      <c r="R22" s="14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</v>
      </c>
      <c r="S22" s="14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</v>
      </c>
      <c r="T22" s="14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</v>
      </c>
      <c r="U22" s="14" t="str">
        <f t="shared" si="7"/>
        <v xml:space="preserve">[br]Технологии древности (1): Охота; </v>
      </c>
    </row>
    <row r="23" spans="1:21" s="14" customFormat="1" x14ac:dyDescent="0.25">
      <c r="A23" s="197">
        <v>3</v>
      </c>
      <c r="B23" s="24" t="s">
        <v>90</v>
      </c>
      <c r="C23" s="23">
        <f t="shared" si="8"/>
        <v>22</v>
      </c>
      <c r="D23" s="25">
        <v>1</v>
      </c>
      <c r="E23" s="25"/>
      <c r="F23" s="25"/>
      <c r="G23" s="25"/>
      <c r="H23" s="25">
        <v>1</v>
      </c>
      <c r="I23" s="25"/>
      <c r="J23" s="25"/>
      <c r="K23" s="25"/>
      <c r="L23" s="35" t="s">
        <v>91</v>
      </c>
      <c r="M23" t="s">
        <v>37</v>
      </c>
      <c r="N23" s="14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</v>
      </c>
      <c r="O23" s="14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3" s="14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</v>
      </c>
      <c r="Q23" s="14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</v>
      </c>
      <c r="R23" s="14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</v>
      </c>
      <c r="S23" s="14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</v>
      </c>
      <c r="T23" s="14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</v>
      </c>
      <c r="U23" s="14" t="str">
        <f t="shared" si="7"/>
        <v xml:space="preserve">[br]Технологии древности (1): Охота; </v>
      </c>
    </row>
    <row r="24" spans="1:21" s="14" customFormat="1" x14ac:dyDescent="0.25">
      <c r="A24" s="197">
        <v>3</v>
      </c>
      <c r="B24" s="24" t="s">
        <v>92</v>
      </c>
      <c r="C24" s="23">
        <f t="shared" si="8"/>
        <v>23</v>
      </c>
      <c r="D24" s="25"/>
      <c r="E24" s="25"/>
      <c r="F24" s="25"/>
      <c r="G24" s="25"/>
      <c r="H24" s="25"/>
      <c r="I24" s="25"/>
      <c r="J24" s="25">
        <v>1</v>
      </c>
      <c r="K24" s="25"/>
      <c r="L24" s="35" t="s">
        <v>93</v>
      </c>
      <c r="M24" t="s">
        <v>37</v>
      </c>
      <c r="N24" s="14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</v>
      </c>
      <c r="O24" s="14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4" s="14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</v>
      </c>
      <c r="Q24" s="14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</v>
      </c>
      <c r="R24" s="14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</v>
      </c>
      <c r="S24" s="14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</v>
      </c>
      <c r="T24" s="14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</v>
      </c>
      <c r="U24" s="14" t="str">
        <f t="shared" si="7"/>
        <v xml:space="preserve">[br]Технологии древности (1): Охота; </v>
      </c>
    </row>
    <row r="25" spans="1:21" s="14" customFormat="1" x14ac:dyDescent="0.25">
      <c r="A25" s="197">
        <v>3</v>
      </c>
      <c r="B25" s="24" t="s">
        <v>94</v>
      </c>
      <c r="C25" s="23">
        <f t="shared" si="8"/>
        <v>24</v>
      </c>
      <c r="D25" s="25">
        <v>1</v>
      </c>
      <c r="E25" s="25"/>
      <c r="F25" s="25"/>
      <c r="G25" s="25"/>
      <c r="H25" s="25">
        <v>1</v>
      </c>
      <c r="I25" s="25">
        <v>1</v>
      </c>
      <c r="J25" s="25"/>
      <c r="K25" s="25"/>
      <c r="L25" s="35" t="s">
        <v>95</v>
      </c>
      <c r="M25" t="s">
        <v>37</v>
      </c>
      <c r="N25" s="14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</v>
      </c>
      <c r="O25" s="14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5" s="14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</v>
      </c>
      <c r="Q25" s="14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</v>
      </c>
      <c r="R25" s="14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</v>
      </c>
      <c r="S25" s="14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</v>
      </c>
      <c r="T25" s="14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</v>
      </c>
      <c r="U25" s="14" t="str">
        <f t="shared" si="7"/>
        <v xml:space="preserve">[br]Технологии древности (1): Охота; </v>
      </c>
    </row>
    <row r="26" spans="1:21" s="14" customFormat="1" x14ac:dyDescent="0.25">
      <c r="A26" s="197">
        <v>3</v>
      </c>
      <c r="B26" s="24" t="s">
        <v>96</v>
      </c>
      <c r="C26" s="23">
        <f t="shared" si="8"/>
        <v>25</v>
      </c>
      <c r="D26" s="25">
        <v>1</v>
      </c>
      <c r="E26" s="25"/>
      <c r="F26" s="25">
        <v>1</v>
      </c>
      <c r="G26" s="25"/>
      <c r="H26" s="25"/>
      <c r="I26" s="25">
        <v>1</v>
      </c>
      <c r="J26" s="25">
        <v>1</v>
      </c>
      <c r="K26" s="25"/>
      <c r="L26" s="35" t="s">
        <v>128</v>
      </c>
      <c r="M26" t="s">
        <v>37</v>
      </c>
      <c r="N26" s="14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</v>
      </c>
      <c r="O26" s="14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6" s="14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</v>
      </c>
      <c r="Q26" s="14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</v>
      </c>
      <c r="R26" s="14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</v>
      </c>
      <c r="S26" s="14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</v>
      </c>
      <c r="T26" s="14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</v>
      </c>
      <c r="U26" s="14" t="str">
        <f t="shared" si="7"/>
        <v xml:space="preserve">[br]Технологии древности (1): Охота; </v>
      </c>
    </row>
    <row r="27" spans="1:21" s="14" customFormat="1" x14ac:dyDescent="0.25">
      <c r="A27" s="197">
        <v>3</v>
      </c>
      <c r="B27" s="24" t="s">
        <v>97</v>
      </c>
      <c r="C27" s="23">
        <f t="shared" si="8"/>
        <v>26</v>
      </c>
      <c r="D27" s="25">
        <v>1</v>
      </c>
      <c r="E27" s="25"/>
      <c r="F27" s="25"/>
      <c r="G27" s="25">
        <v>1</v>
      </c>
      <c r="H27" s="25">
        <v>1</v>
      </c>
      <c r="I27" s="25">
        <v>1</v>
      </c>
      <c r="J27" s="25"/>
      <c r="K27" s="25"/>
      <c r="L27" s="35" t="s">
        <v>98</v>
      </c>
      <c r="M27" t="s">
        <v>37</v>
      </c>
      <c r="N27" s="14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</v>
      </c>
      <c r="O27" s="14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7" s="14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</v>
      </c>
      <c r="Q27" s="14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</v>
      </c>
      <c r="R27" s="14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</v>
      </c>
      <c r="S27" s="14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</v>
      </c>
      <c r="T27" s="14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</v>
      </c>
      <c r="U27" s="14" t="str">
        <f t="shared" si="7"/>
        <v xml:space="preserve">[br]Технологии древности (1): Охота; </v>
      </c>
    </row>
    <row r="28" spans="1:21" s="14" customFormat="1" x14ac:dyDescent="0.25">
      <c r="A28" s="197">
        <v>3</v>
      </c>
      <c r="B28" s="24" t="s">
        <v>99</v>
      </c>
      <c r="C28" s="23">
        <f t="shared" si="8"/>
        <v>27</v>
      </c>
      <c r="D28" s="25">
        <v>1</v>
      </c>
      <c r="E28" s="25"/>
      <c r="F28" s="25"/>
      <c r="G28" s="25">
        <v>1</v>
      </c>
      <c r="H28" s="25">
        <v>1</v>
      </c>
      <c r="I28" s="25"/>
      <c r="J28" s="25"/>
      <c r="K28" s="25"/>
      <c r="L28" s="35" t="s">
        <v>100</v>
      </c>
      <c r="M28" t="s">
        <v>37</v>
      </c>
      <c r="N28" s="14" t="str">
        <f t="shared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</v>
      </c>
      <c r="O28" s="14" t="str">
        <f t="shared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8" s="14" t="str">
        <f t="shared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</v>
      </c>
      <c r="Q28" s="14" t="str">
        <f t="shared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</v>
      </c>
      <c r="R28" s="14" t="str">
        <f t="shared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</v>
      </c>
      <c r="S28" s="14" t="str">
        <f t="shared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</v>
      </c>
      <c r="T28" s="14" t="str">
        <f t="shared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</v>
      </c>
      <c r="U28" s="14" t="str">
        <f t="shared" si="7"/>
        <v xml:space="preserve">[br]Технологии древности (1): Охота; </v>
      </c>
    </row>
    <row r="29" spans="1:21" s="14" customFormat="1" x14ac:dyDescent="0.25">
      <c r="A29" s="197">
        <v>3</v>
      </c>
      <c r="B29" s="24" t="s">
        <v>101</v>
      </c>
      <c r="C29" s="23">
        <f t="shared" si="8"/>
        <v>28</v>
      </c>
      <c r="D29" s="25"/>
      <c r="E29" s="25"/>
      <c r="F29" s="25"/>
      <c r="G29" s="25"/>
      <c r="H29" s="25"/>
      <c r="I29" s="25"/>
      <c r="J29" s="25"/>
      <c r="K29" s="25"/>
      <c r="L29" s="35" t="s">
        <v>102</v>
      </c>
      <c r="M29" t="s">
        <v>37</v>
      </c>
      <c r="N29" s="14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</v>
      </c>
      <c r="O29" s="14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29" s="14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</v>
      </c>
      <c r="Q29" s="14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</v>
      </c>
      <c r="R29" s="14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</v>
      </c>
      <c r="S29" s="14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</v>
      </c>
      <c r="T29" s="14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</v>
      </c>
      <c r="U29" s="14" t="str">
        <f t="shared" ca="1" si="7"/>
        <v xml:space="preserve">[br]Технологии древности (1): Охота; </v>
      </c>
    </row>
    <row r="30" spans="1:21" s="14" customFormat="1" x14ac:dyDescent="0.25">
      <c r="A30" s="197">
        <v>3</v>
      </c>
      <c r="B30" s="24" t="s">
        <v>103</v>
      </c>
      <c r="C30" s="23">
        <f t="shared" si="8"/>
        <v>29</v>
      </c>
      <c r="D30" s="25">
        <v>1</v>
      </c>
      <c r="E30" s="25"/>
      <c r="F30" s="25"/>
      <c r="G30" s="25">
        <v>1</v>
      </c>
      <c r="H30" s="25">
        <v>1</v>
      </c>
      <c r="I30" s="25">
        <v>1</v>
      </c>
      <c r="J30" s="25"/>
      <c r="K30" s="25"/>
      <c r="L30" s="35" t="s">
        <v>129</v>
      </c>
      <c r="M30" t="s">
        <v>37</v>
      </c>
      <c r="N30" s="14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</v>
      </c>
      <c r="O30" s="14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0" s="14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</v>
      </c>
      <c r="Q30" s="14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</v>
      </c>
      <c r="R30" s="14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</v>
      </c>
      <c r="S30" s="14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</v>
      </c>
      <c r="T30" s="14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</v>
      </c>
      <c r="U30" s="14" t="str">
        <f t="shared" ca="1" si="7"/>
        <v xml:space="preserve">[br]Технологии древности (1): Охота; </v>
      </c>
    </row>
    <row r="31" spans="1:21" s="14" customFormat="1" x14ac:dyDescent="0.25">
      <c r="A31" s="198">
        <v>3</v>
      </c>
      <c r="B31" s="24" t="s">
        <v>104</v>
      </c>
      <c r="C31" s="23">
        <f t="shared" si="8"/>
        <v>30</v>
      </c>
      <c r="D31" s="25"/>
      <c r="E31" s="25"/>
      <c r="F31" s="25">
        <v>1</v>
      </c>
      <c r="G31" s="25">
        <v>1</v>
      </c>
      <c r="H31" s="25"/>
      <c r="I31" s="25">
        <v>1</v>
      </c>
      <c r="J31" s="25">
        <v>1</v>
      </c>
      <c r="K31" s="25"/>
      <c r="L31" s="35" t="s">
        <v>105</v>
      </c>
      <c r="M31" t="s">
        <v>37</v>
      </c>
      <c r="N31" s="14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</v>
      </c>
      <c r="O31" s="14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1" s="14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31" s="14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</v>
      </c>
      <c r="R31" s="14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</v>
      </c>
      <c r="S31" s="14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</v>
      </c>
      <c r="T31" s="14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31" s="14" t="str">
        <f t="shared" ca="1" si="7"/>
        <v xml:space="preserve">[br]Технологии древности (1): Охота; </v>
      </c>
    </row>
    <row r="32" spans="1:21" s="5" customFormat="1" x14ac:dyDescent="0.25">
      <c r="A32" s="202">
        <v>4</v>
      </c>
      <c r="B32" s="27" t="s">
        <v>106</v>
      </c>
      <c r="C32" s="26">
        <f t="shared" si="8"/>
        <v>31</v>
      </c>
      <c r="D32" s="28"/>
      <c r="E32" s="28"/>
      <c r="F32" s="28"/>
      <c r="G32" s="28"/>
      <c r="H32" s="28"/>
      <c r="I32" s="28"/>
      <c r="J32" s="28"/>
      <c r="K32" s="28"/>
      <c r="L32" s="36" t="s">
        <v>107</v>
      </c>
      <c r="M32" t="s">
        <v>37</v>
      </c>
      <c r="N32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</v>
      </c>
      <c r="O32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2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32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</v>
      </c>
      <c r="R32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</v>
      </c>
      <c r="S32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</v>
      </c>
      <c r="T32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32" s="5" t="str">
        <f t="shared" ca="1" si="7"/>
        <v xml:space="preserve">[br]Технологии древности (1): Охота; </v>
      </c>
    </row>
    <row r="33" spans="1:21" s="5" customFormat="1" x14ac:dyDescent="0.25">
      <c r="A33" s="203">
        <v>4</v>
      </c>
      <c r="B33" s="27" t="s">
        <v>108</v>
      </c>
      <c r="C33" s="26">
        <f t="shared" si="8"/>
        <v>32</v>
      </c>
      <c r="D33" s="28">
        <v>1</v>
      </c>
      <c r="E33" s="28"/>
      <c r="F33" s="28"/>
      <c r="G33" s="28">
        <v>1</v>
      </c>
      <c r="H33" s="28">
        <v>1</v>
      </c>
      <c r="I33" s="28">
        <v>1</v>
      </c>
      <c r="J33" s="28"/>
      <c r="K33" s="28"/>
      <c r="L33" s="36" t="s">
        <v>109</v>
      </c>
      <c r="M33" t="s">
        <v>37</v>
      </c>
      <c r="N33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</v>
      </c>
      <c r="O33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3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33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</v>
      </c>
      <c r="R33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</v>
      </c>
      <c r="S33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</v>
      </c>
      <c r="T33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33" s="5" t="str">
        <f t="shared" ca="1" si="7"/>
        <v xml:space="preserve">[br]Технологии древности (1): Охота; </v>
      </c>
    </row>
    <row r="34" spans="1:21" s="5" customFormat="1" x14ac:dyDescent="0.25">
      <c r="A34" s="203">
        <v>4</v>
      </c>
      <c r="B34" s="27" t="s">
        <v>110</v>
      </c>
      <c r="C34" s="26">
        <f t="shared" si="8"/>
        <v>33</v>
      </c>
      <c r="D34" s="28">
        <v>1</v>
      </c>
      <c r="E34" s="28"/>
      <c r="F34" s="28"/>
      <c r="G34" s="28">
        <v>1</v>
      </c>
      <c r="H34" s="28">
        <v>1</v>
      </c>
      <c r="I34" s="28">
        <v>1</v>
      </c>
      <c r="J34" s="28"/>
      <c r="K34" s="28"/>
      <c r="L34" s="36" t="s">
        <v>111</v>
      </c>
      <c r="M34" t="s">
        <v>37</v>
      </c>
      <c r="N34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</v>
      </c>
      <c r="O34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4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34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</v>
      </c>
      <c r="R34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</v>
      </c>
      <c r="S34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</v>
      </c>
      <c r="T34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34" s="5" t="str">
        <f t="shared" ca="1" si="7"/>
        <v xml:space="preserve">[br]Технологии древности (1): Охота; </v>
      </c>
    </row>
    <row r="35" spans="1:21" s="5" customFormat="1" x14ac:dyDescent="0.25">
      <c r="A35" s="203">
        <v>4</v>
      </c>
      <c r="B35" s="27" t="s">
        <v>112</v>
      </c>
      <c r="C35" s="26">
        <f t="shared" si="8"/>
        <v>34</v>
      </c>
      <c r="D35" s="28">
        <v>1</v>
      </c>
      <c r="E35" s="28"/>
      <c r="F35" s="28"/>
      <c r="G35" s="28"/>
      <c r="H35" s="28"/>
      <c r="I35" s="28"/>
      <c r="J35" s="28"/>
      <c r="K35" s="28"/>
      <c r="L35" s="36" t="s">
        <v>113</v>
      </c>
      <c r="M35" t="s">
        <v>37</v>
      </c>
      <c r="N35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</v>
      </c>
      <c r="O35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5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35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</v>
      </c>
      <c r="R35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</v>
      </c>
      <c r="S35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</v>
      </c>
      <c r="T35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35" s="5" t="str">
        <f t="shared" ca="1" si="7"/>
        <v xml:space="preserve">[br]Технологии древности (1): Охота; </v>
      </c>
    </row>
    <row r="36" spans="1:21" s="5" customFormat="1" x14ac:dyDescent="0.25">
      <c r="A36" s="203">
        <v>4</v>
      </c>
      <c r="B36" s="27" t="s">
        <v>114</v>
      </c>
      <c r="C36" s="26">
        <f t="shared" si="8"/>
        <v>35</v>
      </c>
      <c r="D36" s="28">
        <v>1</v>
      </c>
      <c r="E36" s="28"/>
      <c r="F36" s="28"/>
      <c r="G36" s="28">
        <v>1</v>
      </c>
      <c r="H36" s="28">
        <v>1</v>
      </c>
      <c r="I36" s="28"/>
      <c r="J36" s="28"/>
      <c r="K36" s="28"/>
      <c r="L36" s="36" t="s">
        <v>115</v>
      </c>
      <c r="M36" t="s">
        <v>37</v>
      </c>
      <c r="N36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</v>
      </c>
      <c r="O36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6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36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</v>
      </c>
      <c r="R36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</v>
      </c>
      <c r="S36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</v>
      </c>
      <c r="T36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36" s="5" t="str">
        <f t="shared" ca="1" si="7"/>
        <v xml:space="preserve">[br]Технологии древности (1): Охота; </v>
      </c>
    </row>
    <row r="37" spans="1:21" s="5" customFormat="1" x14ac:dyDescent="0.25">
      <c r="A37" s="203">
        <v>4</v>
      </c>
      <c r="B37" s="27" t="s">
        <v>116</v>
      </c>
      <c r="C37" s="26">
        <f t="shared" si="8"/>
        <v>36</v>
      </c>
      <c r="D37" s="28"/>
      <c r="E37" s="28"/>
      <c r="F37" s="28"/>
      <c r="G37" s="28"/>
      <c r="H37" s="28"/>
      <c r="I37" s="28"/>
      <c r="J37" s="28"/>
      <c r="K37" s="28"/>
      <c r="L37" s="36" t="s">
        <v>117</v>
      </c>
      <c r="M37" t="s">
        <v>37</v>
      </c>
      <c r="N37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</v>
      </c>
      <c r="O37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7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37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</v>
      </c>
      <c r="R37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</v>
      </c>
      <c r="S37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</v>
      </c>
      <c r="T37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37" s="5" t="str">
        <f t="shared" ca="1" si="7"/>
        <v xml:space="preserve">[br]Технологии древности (1): Охота; </v>
      </c>
    </row>
    <row r="38" spans="1:21" s="5" customFormat="1" x14ac:dyDescent="0.25">
      <c r="A38" s="203">
        <v>4</v>
      </c>
      <c r="B38" s="27" t="s">
        <v>118</v>
      </c>
      <c r="C38" s="26">
        <f t="shared" si="8"/>
        <v>37</v>
      </c>
      <c r="D38" s="28">
        <v>1</v>
      </c>
      <c r="E38" s="28"/>
      <c r="F38" s="28"/>
      <c r="G38" s="28">
        <v>1</v>
      </c>
      <c r="H38" s="28">
        <v>1</v>
      </c>
      <c r="I38" s="28">
        <v>1</v>
      </c>
      <c r="J38" s="28"/>
      <c r="K38" s="28"/>
      <c r="L38" s="36" t="s">
        <v>130</v>
      </c>
      <c r="M38" t="s">
        <v>37</v>
      </c>
      <c r="N38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</v>
      </c>
      <c r="O38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8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38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</v>
      </c>
      <c r="R38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</v>
      </c>
      <c r="S38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</v>
      </c>
      <c r="T38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38" s="5" t="str">
        <f t="shared" ca="1" si="7"/>
        <v xml:space="preserve">[br]Технологии древности (1): Охота; </v>
      </c>
    </row>
    <row r="39" spans="1:21" s="5" customFormat="1" x14ac:dyDescent="0.25">
      <c r="A39" s="203">
        <v>4</v>
      </c>
      <c r="B39" s="27" t="s">
        <v>119</v>
      </c>
      <c r="C39" s="26">
        <f t="shared" si="8"/>
        <v>38</v>
      </c>
      <c r="D39" s="28">
        <v>1</v>
      </c>
      <c r="E39" s="28"/>
      <c r="F39" s="28"/>
      <c r="G39" s="28"/>
      <c r="H39" s="28">
        <v>1</v>
      </c>
      <c r="I39" s="28">
        <v>1</v>
      </c>
      <c r="J39" s="28"/>
      <c r="K39" s="28"/>
      <c r="L39" s="36" t="s">
        <v>120</v>
      </c>
      <c r="M39" t="s">
        <v>37</v>
      </c>
      <c r="N39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</v>
      </c>
      <c r="O39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39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39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</v>
      </c>
      <c r="R39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</v>
      </c>
      <c r="S39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</v>
      </c>
      <c r="T39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39" s="5" t="str">
        <f t="shared" ca="1" si="7"/>
        <v xml:space="preserve">[br]Технологии древности (1): Охота; </v>
      </c>
    </row>
    <row r="40" spans="1:21" s="5" customFormat="1" x14ac:dyDescent="0.25">
      <c r="A40" s="203">
        <v>4</v>
      </c>
      <c r="B40" s="27" t="s">
        <v>121</v>
      </c>
      <c r="C40" s="26">
        <f t="shared" si="8"/>
        <v>39</v>
      </c>
      <c r="D40" s="28"/>
      <c r="E40" s="28"/>
      <c r="F40" s="28"/>
      <c r="G40" s="28"/>
      <c r="H40" s="28"/>
      <c r="I40" s="28"/>
      <c r="J40" s="28"/>
      <c r="K40" s="28"/>
      <c r="L40" s="36" t="s">
        <v>122</v>
      </c>
      <c r="M40" t="s">
        <v>37</v>
      </c>
      <c r="N40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</v>
      </c>
      <c r="O40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40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40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</v>
      </c>
      <c r="R40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</v>
      </c>
      <c r="S40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</v>
      </c>
      <c r="T40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40" s="5" t="str">
        <f t="shared" ca="1" si="7"/>
        <v xml:space="preserve">[br]Технологии древности (1): Охота; </v>
      </c>
    </row>
    <row r="41" spans="1:21" s="5" customFormat="1" x14ac:dyDescent="0.25">
      <c r="A41" s="204">
        <v>4</v>
      </c>
      <c r="B41" s="27" t="s">
        <v>123</v>
      </c>
      <c r="C41" s="26">
        <f t="shared" si="8"/>
        <v>40</v>
      </c>
      <c r="D41" s="28"/>
      <c r="E41" s="28"/>
      <c r="F41" s="28"/>
      <c r="G41" s="28"/>
      <c r="H41" s="28"/>
      <c r="I41" s="28"/>
      <c r="J41" s="28"/>
      <c r="K41" s="28"/>
      <c r="L41" s="36" t="s">
        <v>124</v>
      </c>
      <c r="M41" t="s">
        <v>37</v>
      </c>
      <c r="N41" s="5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</v>
      </c>
      <c r="O41" s="5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41" s="5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41" s="5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</v>
      </c>
      <c r="R41" s="5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</v>
      </c>
      <c r="S41" s="5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</v>
      </c>
      <c r="T41" s="5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41" s="5" t="str">
        <f t="shared" ca="1" si="7"/>
        <v xml:space="preserve">[br]Технологии древности (1): Охота; </v>
      </c>
    </row>
    <row r="42" spans="1:21" s="13" customFormat="1" x14ac:dyDescent="0.25">
      <c r="A42" s="205">
        <v>5</v>
      </c>
      <c r="B42" s="30" t="s">
        <v>84</v>
      </c>
      <c r="C42" s="29">
        <f t="shared" si="8"/>
        <v>41</v>
      </c>
      <c r="D42" s="31">
        <v>1</v>
      </c>
      <c r="E42" s="31"/>
      <c r="F42" s="31"/>
      <c r="G42" s="31">
        <v>1</v>
      </c>
      <c r="H42" s="31">
        <v>1</v>
      </c>
      <c r="I42" s="31">
        <v>1</v>
      </c>
      <c r="J42" s="31"/>
      <c r="K42" s="31"/>
      <c r="L42" s="37" t="s">
        <v>83</v>
      </c>
      <c r="M42" t="s">
        <v>37</v>
      </c>
      <c r="N42" s="13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[br]Технологии будущего (3): Технология будущего 1; </v>
      </c>
      <c r="O42" s="13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42" s="13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42" s="13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[br]Технологии будущего (2): Технология будущего 1; </v>
      </c>
      <c r="R42" s="13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[br]Технологии будущего (2): Технология будущего 1; </v>
      </c>
      <c r="S42" s="13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[br]Технологии будущего (2): Технология будущего 1; </v>
      </c>
      <c r="T42" s="13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42" s="13" t="str">
        <f t="shared" ca="1" si="7"/>
        <v xml:space="preserve">[br]Технологии древности (1): Охота; </v>
      </c>
    </row>
    <row r="43" spans="1:21" s="13" customFormat="1" x14ac:dyDescent="0.25">
      <c r="A43" s="206">
        <v>5</v>
      </c>
      <c r="B43" s="30" t="s">
        <v>85</v>
      </c>
      <c r="C43" s="29">
        <f t="shared" si="8"/>
        <v>42</v>
      </c>
      <c r="D43" s="31">
        <v>1</v>
      </c>
      <c r="E43" s="31"/>
      <c r="F43" s="31"/>
      <c r="G43" s="31">
        <v>1</v>
      </c>
      <c r="H43" s="31">
        <v>1</v>
      </c>
      <c r="I43" s="31">
        <v>1</v>
      </c>
      <c r="J43" s="31"/>
      <c r="K43" s="31"/>
      <c r="L43" s="37" t="s">
        <v>83</v>
      </c>
      <c r="M43" t="s">
        <v>37</v>
      </c>
      <c r="N43" s="13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[br]Технологии будущего (3): Технология будущего 1; Технология будущего 2; </v>
      </c>
      <c r="O43" s="13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43" s="13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43" s="13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[br]Технологии будущего (2): Технология будущего 1; Технология будущего 2; </v>
      </c>
      <c r="R43" s="13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[br]Технологии будущего (2): Технология будущего 1; Технология будущего 2; </v>
      </c>
      <c r="S43" s="13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[br]Технологии будущего (2): Технология будущего 1; Технология будущего 2; </v>
      </c>
      <c r="T43" s="13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43" s="13" t="str">
        <f t="shared" ca="1" si="7"/>
        <v xml:space="preserve">[br]Технологии древности (1): Охота; </v>
      </c>
    </row>
    <row r="44" spans="1:21" s="13" customFormat="1" x14ac:dyDescent="0.25">
      <c r="A44" s="206">
        <v>5</v>
      </c>
      <c r="B44" s="30" t="s">
        <v>86</v>
      </c>
      <c r="C44" s="29">
        <f t="shared" si="8"/>
        <v>43</v>
      </c>
      <c r="D44" s="31">
        <v>1</v>
      </c>
      <c r="E44" s="31"/>
      <c r="F44" s="31"/>
      <c r="G44" s="31"/>
      <c r="H44" s="31"/>
      <c r="I44" s="31"/>
      <c r="J44" s="31"/>
      <c r="K44" s="31"/>
      <c r="L44" s="37" t="s">
        <v>83</v>
      </c>
      <c r="M44" t="s">
        <v>37</v>
      </c>
      <c r="N44" s="13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[br]Технологии будущего (3): Технология будущего 1; Технология будущего 2; Технология будущего 3; </v>
      </c>
      <c r="O44" s="13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44" s="13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44" s="13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[br]Технологии будущего (2): Технология будущего 1; Технология будущего 2; </v>
      </c>
      <c r="R44" s="13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[br]Технологии будущего (2): Технология будущего 1; Технология будущего 2; </v>
      </c>
      <c r="S44" s="13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[br]Технологии будущего (2): Технология будущего 1; Технология будущего 2; </v>
      </c>
      <c r="T44" s="13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44" s="13" t="str">
        <f t="shared" ca="1" si="7"/>
        <v xml:space="preserve">[br]Технологии древности (1): Охота; </v>
      </c>
    </row>
    <row r="45" spans="1:21" s="13" customFormat="1" x14ac:dyDescent="0.25">
      <c r="A45" s="207">
        <v>5</v>
      </c>
      <c r="B45" s="30" t="s">
        <v>87</v>
      </c>
      <c r="C45" s="29">
        <f t="shared" si="8"/>
        <v>44</v>
      </c>
      <c r="D45" s="31"/>
      <c r="E45" s="31"/>
      <c r="F45" s="31"/>
      <c r="G45" s="31"/>
      <c r="H45" s="31"/>
      <c r="I45" s="31"/>
      <c r="J45" s="31"/>
      <c r="K45" s="31"/>
      <c r="L45" s="37" t="s">
        <v>83</v>
      </c>
      <c r="M45" t="s">
        <v>37</v>
      </c>
      <c r="N45" s="13" t="str">
        <f t="shared" ca="1" si="0"/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[br]Технологии будущего (3): Технология будущего 1; Технология будущего 2; Технология будущего 3; </v>
      </c>
      <c r="O45" s="13" t="str">
        <f t="shared" ca="1" si="1"/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P45" s="13" t="str">
        <f t="shared" ca="1" si="2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Q45" s="13" t="str">
        <f t="shared" ca="1" si="3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[br]Технологии будущего (2): Технология будущего 1; Технология будущего 2; </v>
      </c>
      <c r="R45" s="13" t="str">
        <f t="shared" ca="1" si="4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[br]Технологии будущего (2): Технология будущего 1; Технология будущего 2; </v>
      </c>
      <c r="S45" s="13" t="str">
        <f t="shared" ca="1" si="5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[br]Технологии будущего (2): Технология будущего 1; Технология будущего 2; </v>
      </c>
      <c r="T45" s="13" t="str">
        <f t="shared" ca="1" si="6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U45" s="13" t="str">
        <f t="shared" ca="1" si="7"/>
        <v xml:space="preserve">[br]Технологии древности (1): Охота; </v>
      </c>
    </row>
    <row r="46" spans="1:21" x14ac:dyDescent="0.25">
      <c r="B46" s="89">
        <v>0</v>
      </c>
      <c r="M46" t="s">
        <v>37</v>
      </c>
    </row>
    <row r="47" spans="1:21" x14ac:dyDescent="0.25">
      <c r="B47" t="str">
        <f>База!C2</f>
        <v>Древность</v>
      </c>
      <c r="D47" s="1">
        <f>SUM(D2:D11)</f>
        <v>9</v>
      </c>
      <c r="E47" s="1">
        <f t="shared" ref="E47:K47" si="9">SUM(E2:E11)</f>
        <v>5</v>
      </c>
      <c r="F47" s="1">
        <f t="shared" si="9"/>
        <v>6</v>
      </c>
      <c r="G47" s="1">
        <f t="shared" si="9"/>
        <v>7</v>
      </c>
      <c r="H47" s="1">
        <f t="shared" si="9"/>
        <v>8</v>
      </c>
      <c r="I47" s="1">
        <f t="shared" si="9"/>
        <v>8</v>
      </c>
      <c r="J47" s="1">
        <f t="shared" si="9"/>
        <v>9</v>
      </c>
      <c r="K47" s="1">
        <f t="shared" si="9"/>
        <v>1</v>
      </c>
      <c r="M47" t="s">
        <v>37</v>
      </c>
    </row>
    <row r="48" spans="1:21" x14ac:dyDescent="0.25">
      <c r="B48" t="str">
        <f>База!C3</f>
        <v>Средневековье</v>
      </c>
      <c r="D48" s="1">
        <f>SUM(D12:D21)</f>
        <v>8</v>
      </c>
      <c r="E48" s="1">
        <f t="shared" ref="E48:K48" si="10">SUM(E12:E21)</f>
        <v>3</v>
      </c>
      <c r="F48" s="1">
        <f t="shared" si="10"/>
        <v>5</v>
      </c>
      <c r="G48" s="1">
        <f t="shared" si="10"/>
        <v>6</v>
      </c>
      <c r="H48" s="1">
        <f t="shared" si="10"/>
        <v>7</v>
      </c>
      <c r="I48" s="1">
        <f t="shared" si="10"/>
        <v>6</v>
      </c>
      <c r="J48" s="1">
        <f t="shared" si="10"/>
        <v>6</v>
      </c>
      <c r="K48" s="1">
        <f t="shared" si="10"/>
        <v>0</v>
      </c>
      <c r="M48" t="s">
        <v>37</v>
      </c>
    </row>
    <row r="49" spans="2:22" x14ac:dyDescent="0.25">
      <c r="B49" t="str">
        <f>База!C4</f>
        <v>Новое время</v>
      </c>
      <c r="D49" s="1">
        <f>SUM(D22:D31)</f>
        <v>7</v>
      </c>
      <c r="E49" s="1">
        <f t="shared" ref="E49:K49" si="11">SUM(E22:E31)</f>
        <v>0</v>
      </c>
      <c r="F49" s="1">
        <f t="shared" si="11"/>
        <v>2</v>
      </c>
      <c r="G49" s="1">
        <f t="shared" si="11"/>
        <v>5</v>
      </c>
      <c r="H49" s="1">
        <f t="shared" si="11"/>
        <v>6</v>
      </c>
      <c r="I49" s="1">
        <f t="shared" si="11"/>
        <v>5</v>
      </c>
      <c r="J49" s="1">
        <f t="shared" si="11"/>
        <v>4</v>
      </c>
      <c r="K49" s="1">
        <f t="shared" si="11"/>
        <v>0</v>
      </c>
      <c r="M49" t="s">
        <v>37</v>
      </c>
    </row>
    <row r="50" spans="2:22" x14ac:dyDescent="0.25">
      <c r="B50" t="str">
        <f>База!C5</f>
        <v>Современность</v>
      </c>
      <c r="D50" s="1">
        <f>SUM(D32:D41)</f>
        <v>6</v>
      </c>
      <c r="E50" s="1">
        <f t="shared" ref="E50:K50" si="12">SUM(E32:E41)</f>
        <v>0</v>
      </c>
      <c r="F50" s="1">
        <f t="shared" si="12"/>
        <v>0</v>
      </c>
      <c r="G50" s="1">
        <f t="shared" si="12"/>
        <v>4</v>
      </c>
      <c r="H50" s="1">
        <f t="shared" si="12"/>
        <v>5</v>
      </c>
      <c r="I50" s="1">
        <f t="shared" si="12"/>
        <v>4</v>
      </c>
      <c r="J50" s="1">
        <f t="shared" si="12"/>
        <v>0</v>
      </c>
      <c r="K50" s="1">
        <f t="shared" si="12"/>
        <v>0</v>
      </c>
      <c r="M50" t="s">
        <v>37</v>
      </c>
    </row>
    <row r="51" spans="2:22" x14ac:dyDescent="0.25">
      <c r="B51" t="str">
        <f>База!C6</f>
        <v>Будущее</v>
      </c>
      <c r="D51" s="1">
        <f>SUM(D42:D45)</f>
        <v>3</v>
      </c>
      <c r="E51" s="1">
        <f t="shared" ref="E51:K51" si="13">SUM(E42:E45)</f>
        <v>0</v>
      </c>
      <c r="F51" s="1">
        <f t="shared" si="13"/>
        <v>0</v>
      </c>
      <c r="G51" s="1">
        <f t="shared" si="13"/>
        <v>2</v>
      </c>
      <c r="H51" s="1">
        <f t="shared" si="13"/>
        <v>2</v>
      </c>
      <c r="I51" s="1">
        <v>2</v>
      </c>
      <c r="J51" s="1">
        <f t="shared" si="13"/>
        <v>0</v>
      </c>
      <c r="K51" s="1">
        <f t="shared" si="13"/>
        <v>0</v>
      </c>
      <c r="M51" t="s">
        <v>37</v>
      </c>
    </row>
    <row r="52" spans="2:22" x14ac:dyDescent="0.25">
      <c r="M52" t="s">
        <v>37</v>
      </c>
    </row>
    <row r="53" spans="2:22" x14ac:dyDescent="0.25">
      <c r="B53" t="s">
        <v>269</v>
      </c>
      <c r="D53" s="1">
        <f>(D47&gt;0)+(D48&gt;0)+(D49&gt;0)+(D50&gt;0)+(D51&gt;0)</f>
        <v>5</v>
      </c>
      <c r="E53" s="1">
        <f t="shared" ref="E53:K53" si="14">(E47&gt;0)+(E48&gt;0)+(E49&gt;0)+(E50&gt;0)+(E51&gt;0)</f>
        <v>2</v>
      </c>
      <c r="F53" s="1">
        <f t="shared" si="14"/>
        <v>3</v>
      </c>
      <c r="G53" s="1">
        <f t="shared" si="14"/>
        <v>5</v>
      </c>
      <c r="H53" s="1">
        <f t="shared" si="14"/>
        <v>5</v>
      </c>
      <c r="I53" s="1">
        <f t="shared" si="14"/>
        <v>5</v>
      </c>
      <c r="J53" s="1">
        <f t="shared" si="14"/>
        <v>3</v>
      </c>
      <c r="K53" s="1">
        <f t="shared" si="14"/>
        <v>1</v>
      </c>
      <c r="M53" t="s">
        <v>37</v>
      </c>
    </row>
    <row r="55" spans="2:22" x14ac:dyDescent="0.25">
      <c r="D55" s="1">
        <v>3</v>
      </c>
      <c r="E55" s="1">
        <v>4</v>
      </c>
      <c r="F55" s="1">
        <v>5</v>
      </c>
      <c r="G55" s="1">
        <v>6</v>
      </c>
      <c r="H55" s="1">
        <v>7</v>
      </c>
      <c r="I55" s="1">
        <v>8</v>
      </c>
      <c r="J55" s="1">
        <v>9</v>
      </c>
      <c r="K55" s="1">
        <v>10</v>
      </c>
      <c r="M55" t="s">
        <v>37</v>
      </c>
    </row>
    <row r="56" spans="2:22" x14ac:dyDescent="0.25">
      <c r="B56" s="15" t="s">
        <v>203</v>
      </c>
      <c r="D56" s="88">
        <f t="shared" ref="D56:K56" si="15">MAX((VLOOKUP($N56,$B$2:$K$46,D$55,0)&lt;&gt;"")*$S56,(VLOOKUP($O56,$B$2:$K$46,D$55,0)&lt;&gt;"")*$T56,(VLOOKUP($P56,$B$2:$K$46,D$55,0)&lt;&gt;"")*$U56,(VLOOKUP($Q56,$B$2:$K$46,D$55,0)&lt;&gt;"")*$V56)+3</f>
        <v>8</v>
      </c>
      <c r="E56" s="88">
        <f t="shared" si="15"/>
        <v>5</v>
      </c>
      <c r="F56" s="88">
        <f t="shared" si="15"/>
        <v>3</v>
      </c>
      <c r="G56" s="88">
        <f t="shared" si="15"/>
        <v>6</v>
      </c>
      <c r="H56" s="88">
        <f t="shared" si="15"/>
        <v>6</v>
      </c>
      <c r="I56" s="88">
        <f t="shared" si="15"/>
        <v>6</v>
      </c>
      <c r="J56" s="88">
        <f t="shared" si="15"/>
        <v>5</v>
      </c>
      <c r="K56" s="88">
        <f t="shared" si="15"/>
        <v>3</v>
      </c>
      <c r="M56" t="s">
        <v>37</v>
      </c>
      <c r="N56" t="s">
        <v>47</v>
      </c>
      <c r="O56" t="s">
        <v>76</v>
      </c>
      <c r="P56" t="s">
        <v>97</v>
      </c>
      <c r="Q56" t="s">
        <v>112</v>
      </c>
      <c r="S56">
        <v>1</v>
      </c>
      <c r="T56">
        <v>2</v>
      </c>
      <c r="U56">
        <v>3</v>
      </c>
      <c r="V56">
        <v>5</v>
      </c>
    </row>
    <row r="57" spans="2:22" x14ac:dyDescent="0.25">
      <c r="B57" s="15" t="s">
        <v>204</v>
      </c>
      <c r="D57" s="88">
        <f>SUM((VLOOKUP($N57,$B$2:$K$46,D$55,0)&lt;&gt;"")*$S57,(VLOOKUP($O57,$B$2:$K$46,D$55,0)&lt;&gt;"")*$T57,(VLOOKUP($P57,$B$2:$K$46,D$55,0)&lt;&gt;"")*$U57,(VLOOKUP($Q57,$B$2:$K$46,D$55,0)&lt;&gt;"")*$V57)+2</f>
        <v>6</v>
      </c>
      <c r="E57" s="241">
        <f t="shared" ref="E57:J57" si="16">SUM((VLOOKUP($N57,$B$2:$K$46,E$55,0)&lt;&gt;"")*$S57,(VLOOKUP($O57,$B$2:$K$46,E$55,0)&lt;&gt;"")*$T57,(VLOOKUP($P57,$B$2:$K$46,E$55,0)&lt;&gt;"")*$U57,(VLOOKUP($Q57,$B$2:$K$46,E$55,0)&lt;&gt;"")*$V57)+2</f>
        <v>3</v>
      </c>
      <c r="F57" s="241">
        <f t="shared" si="16"/>
        <v>3</v>
      </c>
      <c r="G57" s="241">
        <f t="shared" si="16"/>
        <v>6</v>
      </c>
      <c r="H57" s="241">
        <f t="shared" si="16"/>
        <v>6</v>
      </c>
      <c r="I57" s="241">
        <f t="shared" si="16"/>
        <v>5</v>
      </c>
      <c r="J57" s="241">
        <f t="shared" si="16"/>
        <v>4</v>
      </c>
      <c r="K57" s="88">
        <f t="shared" ref="K57" si="17">MAX((VLOOKUP($N57,$B$2:$K$46,K$55,0)&lt;&gt;"")*$S57,(VLOOKUP($O57,$B$2:$K$46,K$55,0)&lt;&gt;"")*$T57,(VLOOKUP($P57,$B$2:$K$46,K$55,0)&lt;&gt;"")*$U57,(VLOOKUP($Q57,$B$2:$K$46,K$55,0)&lt;&gt;"")*$V57)+2</f>
        <v>2</v>
      </c>
      <c r="M57" t="s">
        <v>37</v>
      </c>
      <c r="N57" t="s">
        <v>49</v>
      </c>
      <c r="O57" t="str">
        <f>B16</f>
        <v>Инженерное дело</v>
      </c>
      <c r="P57" t="s">
        <v>103</v>
      </c>
      <c r="Q57" t="s">
        <v>114</v>
      </c>
      <c r="S57">
        <v>1</v>
      </c>
      <c r="T57">
        <v>1</v>
      </c>
      <c r="U57">
        <v>1</v>
      </c>
      <c r="V57">
        <v>1</v>
      </c>
    </row>
    <row r="58" spans="2:22" x14ac:dyDescent="0.25">
      <c r="B58" s="15" t="s">
        <v>369</v>
      </c>
      <c r="D58" s="88">
        <f>2+SUM((VLOOKUP($N58,$B$2:$K$46,D$55,0)&lt;&gt;"")*$S58,(VLOOKUP($O58,$B$2:$K$46,D$55,0)&lt;&gt;"")*$T58,(VLOOKUP($P58,$B$2:$K$46,D$55,0)&lt;&gt;"")*$U58,(VLOOKUP($Q58,$B$2:$K$46,D$55,0)&lt;&gt;"")*$V58,)+VLOOKUP(VLOOKUP(D$1,Нации!$B$3:$E$10,4,0),База!$B$30:$F$38,COLUMN(База!$F29)-COLUMN(База!$A29),0)+SUMIF(Чудеса!O2:O99,1,Чудеса!L2:L99)</f>
        <v>8</v>
      </c>
      <c r="E58" s="126">
        <f>2+SUM((VLOOKUP($N58,$B$2:$K$46,E$55,0)&lt;&gt;"")*$S58,(VLOOKUP($O58,$B$2:$K$46,E$55,0)&lt;&gt;"")*$T58,(VLOOKUP($P58,$B$2:$K$46,E$55,0)&lt;&gt;"")*$U58,(VLOOKUP($Q58,$B$2:$K$46,E$55,0)&lt;&gt;"")*$V58,)+VLOOKUP(VLOOKUP(E$1,Нации!$B$3:$E$10,4,0),База!$B$30:$F$38,COLUMN(База!$F29)-COLUMN(База!$A29),0)+SUMIF(Чудеса!P2:P99,1,Чудеса!M2:M99)</f>
        <v>4</v>
      </c>
      <c r="F58" s="126">
        <f>2+SUM((VLOOKUP($N58,$B$2:$K$46,F$55,0)&lt;&gt;"")*$S58,(VLOOKUP($O58,$B$2:$K$46,F$55,0)&lt;&gt;"")*$T58,(VLOOKUP($P58,$B$2:$K$46,F$55,0)&lt;&gt;"")*$U58,(VLOOKUP($Q58,$B$2:$K$46,F$55,0)&lt;&gt;"")*$V58,)+VLOOKUP(VLOOKUP(F$1,Нации!$B$3:$E$10,4,0),База!$B$30:$F$38,COLUMN(База!$F29)-COLUMN(База!$A29),0)+SUMIF(Чудеса!Q2:Q99,1,Чудеса!N2:N99)</f>
        <v>4</v>
      </c>
      <c r="G58" s="126">
        <f>2+SUM((VLOOKUP($N58,$B$2:$K$46,G$55,0)&lt;&gt;"")*$S58,(VLOOKUP($O58,$B$2:$K$46,G$55,0)&lt;&gt;"")*$T58,(VLOOKUP($P58,$B$2:$K$46,G$55,0)&lt;&gt;"")*$U58,(VLOOKUP($Q58,$B$2:$K$46,G$55,0)&lt;&gt;"")*$V58,)+VLOOKUP(VLOOKUP(G$1,Нации!$B$3:$E$10,4,0),База!$B$30:$F$38,COLUMN(База!$F29)-COLUMN(База!$A29),0)+SUMIF(Чудеса!R2:R99,1,Чудеса!O2:O99)</f>
        <v>6</v>
      </c>
      <c r="H58" s="126">
        <f>2+SUM((VLOOKUP($N58,$B$2:$K$46,H$55,0)&lt;&gt;"")*$S58,(VLOOKUP($O58,$B$2:$K$46,H$55,0)&lt;&gt;"")*$T58,(VLOOKUP($P58,$B$2:$K$46,H$55,0)&lt;&gt;"")*$U58,(VLOOKUP($Q58,$B$2:$K$46,H$55,0)&lt;&gt;"")*$V58,)+VLOOKUP(VLOOKUP(H$1,Нации!$B$3:$E$10,4,0),База!$B$30:$F$38,COLUMN(База!$F29)-COLUMN(База!$A29),0)+SUMIF(Чудеса!S2:S99,1,Чудеса!P2:P99)</f>
        <v>7</v>
      </c>
      <c r="I58" s="126">
        <f>2+SUM((VLOOKUP($N58,$B$2:$K$46,I$55,0)&lt;&gt;"")*$S58,(VLOOKUP($O58,$B$2:$K$46,I$55,0)&lt;&gt;"")*$T58,(VLOOKUP($P58,$B$2:$K$46,I$55,0)&lt;&gt;"")*$U58,(VLOOKUP($Q58,$B$2:$K$46,I$55,0)&lt;&gt;"")*$V58,)+VLOOKUP(VLOOKUP(I$1,Нации!$B$3:$E$10,4,0),База!$B$30:$F$38,COLUMN(База!$F29)-COLUMN(База!$A29),0)+SUMIF(Чудеса!T2:T99,1,Чудеса!Q2:Q99)</f>
        <v>5</v>
      </c>
      <c r="J58" s="126">
        <f>2+SUM((VLOOKUP($N58,$B$2:$K$46,J$55,0)&lt;&gt;"")*$S58,(VLOOKUP($O58,$B$2:$K$46,J$55,0)&lt;&gt;"")*$T58,(VLOOKUP($P58,$B$2:$K$46,J$55,0)&lt;&gt;"")*$U58,(VLOOKUP($Q58,$B$2:$K$46,J$55,0)&lt;&gt;"")*$V58,)+VLOOKUP(VLOOKUP(J$1,Нации!$B$3:$E$10,4,0),База!$B$30:$F$38,COLUMN(База!$F29)-COLUMN(База!$A29),0)+SUMIF(Чудеса!U2:U99,1,Чудеса!R2:R99)</f>
        <v>3</v>
      </c>
      <c r="K58" s="126">
        <f>2+SUM((VLOOKUP($N58,$B$2:$K$46,K$55,0)&lt;&gt;"")*$S58,(VLOOKUP($O58,$B$2:$K$46,K$55,0)&lt;&gt;"")*$T58,(VLOOKUP($P58,$B$2:$K$46,K$55,0)&lt;&gt;"")*$U58,(VLOOKUP($Q58,$B$2:$K$46,K$55,0)&lt;&gt;"")*$V58,)+VLOOKUP(VLOOKUP(K$1,Нации!$B$3:$E$10,4,0),База!$B$30:$F$38,COLUMN(База!$F29)-COLUMN(База!$A29),0)+SUMIF(Чудеса!V2:V99,1,Чудеса!S2:S99)</f>
        <v>2</v>
      </c>
      <c r="L58" s="90">
        <f>VLOOKUP(VLOOKUP(D$1,Нации!$B$3:$E$9,4),База!$B$30:$F$38,4,0)</f>
        <v>0</v>
      </c>
      <c r="M58" t="s">
        <v>37</v>
      </c>
      <c r="N58" t="s">
        <v>49</v>
      </c>
      <c r="O58" t="s">
        <v>80</v>
      </c>
      <c r="P58" t="s">
        <v>94</v>
      </c>
      <c r="Q58" t="s">
        <v>114</v>
      </c>
      <c r="S58">
        <v>1</v>
      </c>
      <c r="T58">
        <v>1</v>
      </c>
      <c r="U58">
        <v>1</v>
      </c>
      <c r="V58">
        <v>1</v>
      </c>
    </row>
    <row r="59" spans="2:22" x14ac:dyDescent="0.25">
      <c r="B59" s="15" t="s">
        <v>205</v>
      </c>
      <c r="D59" s="88">
        <f t="shared" ref="D59:K59" si="18">MAX((VLOOKUP($N59,$B$2:$K$46,D$55,0)&lt;&gt;"")*$S59,(VLOOKUP($O59,$B$2:$K$46,D$55,0)&lt;&gt;"")*$T59,(VLOOKUP($P59,$B$2:$K$46,D$55,0)&lt;&gt;"")*$U59,(VLOOKUP($Q59,$B$2:$K$46,D$55,0)&lt;&gt;"")*$V59)</f>
        <v>14</v>
      </c>
      <c r="E59" s="88">
        <f t="shared" si="18"/>
        <v>0</v>
      </c>
      <c r="F59" s="88">
        <f t="shared" si="18"/>
        <v>6</v>
      </c>
      <c r="G59" s="88">
        <f t="shared" si="18"/>
        <v>14</v>
      </c>
      <c r="H59" s="88">
        <f t="shared" si="18"/>
        <v>14</v>
      </c>
      <c r="I59" s="88">
        <f t="shared" si="18"/>
        <v>10</v>
      </c>
      <c r="J59" s="88">
        <f t="shared" si="18"/>
        <v>6</v>
      </c>
      <c r="K59" s="88">
        <f t="shared" si="18"/>
        <v>0</v>
      </c>
      <c r="M59" t="s">
        <v>37</v>
      </c>
      <c r="N59" t="s">
        <v>55</v>
      </c>
      <c r="O59" t="s">
        <v>206</v>
      </c>
      <c r="P59" t="s">
        <v>97</v>
      </c>
      <c r="Q59" t="s">
        <v>114</v>
      </c>
      <c r="S59">
        <v>6</v>
      </c>
      <c r="T59">
        <v>8</v>
      </c>
      <c r="U59">
        <v>10</v>
      </c>
      <c r="V59">
        <v>14</v>
      </c>
    </row>
    <row r="60" spans="2:22" x14ac:dyDescent="0.25">
      <c r="B60" s="15" t="s">
        <v>362</v>
      </c>
      <c r="D60" s="91">
        <f t="shared" ref="D60:K60" si="19">MAX((VLOOKUP($N60,$B$2:$K$46,D$55,0)&lt;&gt;"")*$S60,(VLOOKUP($O60,$B$2:$K$46,D$55,0)&lt;&gt;"")*$T60,(VLOOKUP($P60,$B$2:$K$46,D$55,0)&lt;&gt;"")*$U60,(VLOOKUP($Q60,$B$2:$K$46,D$55,0)&lt;&gt;"")*$V60,(VLOOKUP($R60,$B$2:$K$46,D$55,0)&lt;&gt;"")*$W60)</f>
        <v>4</v>
      </c>
      <c r="E60" s="91">
        <f t="shared" si="19"/>
        <v>0</v>
      </c>
      <c r="F60" s="91">
        <f t="shared" si="19"/>
        <v>3</v>
      </c>
      <c r="G60" s="91">
        <f t="shared" si="19"/>
        <v>4</v>
      </c>
      <c r="H60" s="91">
        <f t="shared" si="19"/>
        <v>4</v>
      </c>
      <c r="I60" s="91">
        <f t="shared" si="19"/>
        <v>4</v>
      </c>
      <c r="J60" s="91">
        <f t="shared" si="19"/>
        <v>3</v>
      </c>
      <c r="K60" s="91">
        <f t="shared" si="19"/>
        <v>0</v>
      </c>
      <c r="M60" t="s">
        <v>37</v>
      </c>
      <c r="N60" t="s">
        <v>59</v>
      </c>
      <c r="O60" t="s">
        <v>79</v>
      </c>
      <c r="P60" t="s">
        <v>96</v>
      </c>
      <c r="Q60" t="s">
        <v>118</v>
      </c>
      <c r="S60">
        <v>1</v>
      </c>
      <c r="T60">
        <v>2</v>
      </c>
      <c r="U60">
        <v>3</v>
      </c>
      <c r="V60">
        <v>4</v>
      </c>
    </row>
    <row r="61" spans="2:22" x14ac:dyDescent="0.25">
      <c r="B61" s="15" t="s">
        <v>363</v>
      </c>
      <c r="D61" s="91">
        <f>SUM((VLOOKUP($N61,$B$2:$K$46,D$55,0)&lt;&gt;"")*$S61,(VLOOKUP($O61,$B$2:$K$46,D$55,0)&lt;&gt;"")*$T61,(VLOOKUP($P61,$B$2:$K$46,D$55,0)&lt;&gt;"")*$U61,(VLOOKUP($Q61,$B$2:$K$46,D$55,0)&lt;&gt;"")*$V61,)+VLOOKUP(VLOOKUP(D$1,Нации!$B$3:$E$10,4,0),База!$B$30:$N$38,12,0)+SUMIF(Чудеса!O2:O99,1,Чудеса!$K2:$K99)</f>
        <v>1</v>
      </c>
      <c r="E61" s="91">
        <f>SUM((VLOOKUP($N61,$B$2:$K$46,E$55,0)&lt;&gt;"")*$S61,(VLOOKUP($O61,$B$2:$K$46,E$55,0)&lt;&gt;"")*$T61,(VLOOKUP($P61,$B$2:$K$46,E$55,0)&lt;&gt;"")*$U61,(VLOOKUP($Q61,$B$2:$K$46,E$55,0)&lt;&gt;"")*$V61,)+VLOOKUP(VLOOKUP(E$1,Нации!$B$3:$E$10,4,0),База!$B$30:$N$38,12,0)+SUMIF(Чудеса!P2:P99,1,Чудеса!$K2:$K99)</f>
        <v>0</v>
      </c>
      <c r="F61" s="91">
        <f>SUM((VLOOKUP($N61,$B$2:$K$46,F$55,0)&lt;&gt;"")*$S61,(VLOOKUP($O61,$B$2:$K$46,F$55,0)&lt;&gt;"")*$T61,(VLOOKUP($P61,$B$2:$K$46,F$55,0)&lt;&gt;"")*$U61,(VLOOKUP($Q61,$B$2:$K$46,F$55,0)&lt;&gt;"")*$V61,)+VLOOKUP(VLOOKUP(F$1,Нации!$B$3:$E$10,4,0),База!$B$30:$N$38,12,0)+SUMIF(Чудеса!Q2:Q99,1,Чудеса!$K2:$K99)</f>
        <v>1</v>
      </c>
      <c r="G61" s="91">
        <f>SUM((VLOOKUP($N61,$B$2:$K$46,G$55,0)&lt;&gt;"")*$S61,(VLOOKUP($O61,$B$2:$K$46,G$55,0)&lt;&gt;"")*$T61,(VLOOKUP($P61,$B$2:$K$46,G$55,0)&lt;&gt;"")*$U61,(VLOOKUP($Q61,$B$2:$K$46,G$55,0)&lt;&gt;"")*$V61,)+VLOOKUP(VLOOKUP(G$1,Нации!$B$3:$E$10,4,0),База!$B$30:$N$38,12,0)+SUMIF(Чудеса!R2:R99,1,Чудеса!$K2:$K99)</f>
        <v>1</v>
      </c>
      <c r="H61" s="91">
        <f>SUM((VLOOKUP($N61,$B$2:$K$46,H$55,0)&lt;&gt;"")*$S61,(VLOOKUP($O61,$B$2:$K$46,H$55,0)&lt;&gt;"")*$T61,(VLOOKUP($P61,$B$2:$K$46,H$55,0)&lt;&gt;"")*$U61,(VLOOKUP($Q61,$B$2:$K$46,H$55,0)&lt;&gt;"")*$V61,)+VLOOKUP(VLOOKUP(H$1,Нации!$B$3:$E$10,4,0),База!$B$30:$N$38,12,0)+SUMIF(Чудеса!S2:S99,1,Чудеса!$K2:$K99)</f>
        <v>1</v>
      </c>
      <c r="I61" s="91">
        <f>SUM((VLOOKUP($N61,$B$2:$K$46,I$55,0)&lt;&gt;"")*$S61,(VLOOKUP($O61,$B$2:$K$46,I$55,0)&lt;&gt;"")*$T61,(VLOOKUP($P61,$B$2:$K$46,I$55,0)&lt;&gt;"")*$U61,(VLOOKUP($Q61,$B$2:$K$46,I$55,0)&lt;&gt;"")*$V61,)+VLOOKUP(VLOOKUP(I$1,Нации!$B$3:$E$10,4,0),База!$B$30:$N$38,12,0)+SUMIF(Чудеса!T2:T99,1,Чудеса!$K2:$K99)</f>
        <v>1</v>
      </c>
      <c r="J61" s="91">
        <f>SUM((VLOOKUP($N61,$B$2:$K$46,J$55,0)&lt;&gt;"")*$S61,(VLOOKUP($O61,$B$2:$K$46,J$55,0)&lt;&gt;"")*$T61,(VLOOKUP($P61,$B$2:$K$46,J$55,0)&lt;&gt;"")*$U61,(VLOOKUP($Q61,$B$2:$K$46,J$55,0)&lt;&gt;"")*$V61,)+VLOOKUP(VLOOKUP(J$1,Нации!$B$3:$E$10,4,0),База!$B$30:$N$38,12,0)+SUMIF(Чудеса!U2:U99,1,Чудеса!$K2:$K99)</f>
        <v>2</v>
      </c>
      <c r="K61" s="91">
        <f>SUM((VLOOKUP($N61,$B$2:$K$46,K$55,0)&lt;&gt;"")*$S61,(VLOOKUP($O61,$B$2:$K$46,K$55,0)&lt;&gt;"")*$T61,(VLOOKUP($P61,$B$2:$K$46,K$55,0)&lt;&gt;"")*$U61,(VLOOKUP($Q61,$B$2:$K$46,K$55,0)&lt;&gt;"")*$V61,)+VLOOKUP(VLOOKUP(K$1,Нации!$B$3:$E$10,4,0),База!$B$30:$N$38,12,0)+SUMIF(Чудеса!V2:V99,1,Чудеса!$K2:$K99)</f>
        <v>0</v>
      </c>
      <c r="M61" t="s">
        <v>37</v>
      </c>
      <c r="O61" t="s">
        <v>81</v>
      </c>
      <c r="P61" t="s">
        <v>92</v>
      </c>
      <c r="Q61" t="s">
        <v>106</v>
      </c>
      <c r="S61">
        <v>1</v>
      </c>
      <c r="T61">
        <v>1</v>
      </c>
      <c r="U61">
        <v>1</v>
      </c>
      <c r="V61">
        <v>1</v>
      </c>
    </row>
    <row r="62" spans="2:22" x14ac:dyDescent="0.25">
      <c r="B62" s="15" t="s">
        <v>207</v>
      </c>
      <c r="D62" s="91">
        <f t="shared" ref="D62:K62" si="20">INT(SUM((VLOOKUP($N62,$B$2:$K$46,D$55,0)&lt;&gt;"")*$S62,(VLOOKUP($O62,$B$2:$K$46,D$55,0)&lt;&gt;"")*$T62,(VLOOKUP($P62,$B$2:$K$46,D$55,0)&lt;&gt;"")*$U62,(VLOOKUP($Q62,$B$2:$K$46,D$55,0)&lt;&gt;"")*$V62,(VLOOKUP($R62,$B$2:$K$46,D$55,0)&lt;&gt;"")*$W62))</f>
        <v>1</v>
      </c>
      <c r="E62" s="91">
        <f t="shared" si="20"/>
        <v>0</v>
      </c>
      <c r="F62" s="91">
        <f t="shared" si="20"/>
        <v>0</v>
      </c>
      <c r="G62" s="91">
        <f t="shared" si="20"/>
        <v>1</v>
      </c>
      <c r="H62" s="91">
        <f t="shared" si="20"/>
        <v>1</v>
      </c>
      <c r="I62" s="91">
        <f t="shared" si="20"/>
        <v>1</v>
      </c>
      <c r="J62" s="91">
        <f t="shared" si="20"/>
        <v>0</v>
      </c>
      <c r="K62" s="91">
        <f t="shared" si="20"/>
        <v>0</v>
      </c>
      <c r="M62" t="s">
        <v>37</v>
      </c>
      <c r="P62" t="s">
        <v>108</v>
      </c>
      <c r="Q62" t="s">
        <v>110</v>
      </c>
      <c r="S62">
        <v>0.5</v>
      </c>
      <c r="T62">
        <v>0.5</v>
      </c>
      <c r="U62">
        <v>0.5</v>
      </c>
      <c r="V62">
        <v>0.5</v>
      </c>
    </row>
    <row r="63" spans="2:22" x14ac:dyDescent="0.25">
      <c r="M63" t="s">
        <v>37</v>
      </c>
    </row>
    <row r="64" spans="2:22" x14ac:dyDescent="0.25">
      <c r="M64" t="s">
        <v>37</v>
      </c>
      <c r="N64" s="32">
        <v>1</v>
      </c>
      <c r="O64" s="32">
        <v>2</v>
      </c>
      <c r="P64" s="32">
        <v>3</v>
      </c>
      <c r="Q64" s="32">
        <v>4</v>
      </c>
    </row>
    <row r="65" spans="2:22" x14ac:dyDescent="0.25">
      <c r="B65" s="15" t="s">
        <v>193</v>
      </c>
      <c r="D65" s="91">
        <f t="shared" ref="D65:K68" si="21">MAX((VLOOKUP($N65,$B$2:$K$46,D$55,0)&lt;&gt;"")*$S65,(VLOOKUP($O65,$B$2:$K$46,D$55,0)&lt;&gt;"")*$T65,(VLOOKUP($P65,$B$2:$K$46,D$55,0)&lt;&gt;"")*$U65,(VLOOKUP($Q65,$B$2:$K$46,D$55,0)&lt;&gt;"")*$V65)</f>
        <v>4</v>
      </c>
      <c r="E65" s="91">
        <f t="shared" si="21"/>
        <v>2</v>
      </c>
      <c r="F65" s="91">
        <f t="shared" si="21"/>
        <v>2</v>
      </c>
      <c r="G65" s="91">
        <f t="shared" si="21"/>
        <v>4</v>
      </c>
      <c r="H65" s="91">
        <f t="shared" si="21"/>
        <v>4</v>
      </c>
      <c r="I65" s="91">
        <f t="shared" si="21"/>
        <v>4</v>
      </c>
      <c r="J65" s="91">
        <f t="shared" si="21"/>
        <v>2</v>
      </c>
      <c r="K65" s="91">
        <f t="shared" si="21"/>
        <v>0</v>
      </c>
      <c r="N65" s="32" t="str">
        <f>Наука!B7</f>
        <v>Обработка железа</v>
      </c>
      <c r="O65" s="32" t="str">
        <f>Наука!B12</f>
        <v>Строительство</v>
      </c>
      <c r="P65" s="32" t="str">
        <f>Наука!B23</f>
        <v>Железные дороги</v>
      </c>
      <c r="Q65" s="32" t="str">
        <f>Наука!B33</f>
        <v>Ядерная теория</v>
      </c>
      <c r="S65">
        <v>1</v>
      </c>
      <c r="T65">
        <v>2</v>
      </c>
      <c r="U65">
        <v>3</v>
      </c>
      <c r="V65">
        <v>4</v>
      </c>
    </row>
    <row r="66" spans="2:22" x14ac:dyDescent="0.25">
      <c r="B66" s="15" t="s">
        <v>194</v>
      </c>
      <c r="D66" s="91">
        <f t="shared" si="21"/>
        <v>3</v>
      </c>
      <c r="E66" s="91">
        <f t="shared" si="21"/>
        <v>0</v>
      </c>
      <c r="F66" s="91">
        <f t="shared" si="21"/>
        <v>2</v>
      </c>
      <c r="G66" s="91">
        <f t="shared" si="21"/>
        <v>3</v>
      </c>
      <c r="H66" s="91">
        <f t="shared" si="21"/>
        <v>3</v>
      </c>
      <c r="I66" s="91">
        <f t="shared" si="21"/>
        <v>2</v>
      </c>
      <c r="J66" s="91">
        <f t="shared" si="21"/>
        <v>2</v>
      </c>
      <c r="K66" s="91">
        <f t="shared" si="21"/>
        <v>0</v>
      </c>
      <c r="N66" s="32" t="str">
        <f>Наука!B10</f>
        <v>Деньги</v>
      </c>
      <c r="O66" s="32" t="str">
        <f>Наука!B21</f>
        <v>Валюта</v>
      </c>
      <c r="P66" s="32" t="str">
        <f>Наука!B28</f>
        <v>Банки</v>
      </c>
      <c r="Q66" s="32" t="str">
        <f>Наука!B41</f>
        <v>Биржевая экономика</v>
      </c>
      <c r="S66">
        <v>1</v>
      </c>
      <c r="T66">
        <v>2</v>
      </c>
      <c r="U66">
        <v>3</v>
      </c>
      <c r="V66">
        <v>4</v>
      </c>
    </row>
    <row r="67" spans="2:22" x14ac:dyDescent="0.25">
      <c r="B67" s="15" t="s">
        <v>195</v>
      </c>
      <c r="D67" s="91">
        <f t="shared" si="21"/>
        <v>3</v>
      </c>
      <c r="E67" s="91">
        <f t="shared" si="21"/>
        <v>1</v>
      </c>
      <c r="F67" s="91">
        <f t="shared" si="21"/>
        <v>2</v>
      </c>
      <c r="G67" s="91">
        <f t="shared" si="21"/>
        <v>3</v>
      </c>
      <c r="H67" s="91">
        <f t="shared" si="21"/>
        <v>3</v>
      </c>
      <c r="I67" s="91">
        <f t="shared" si="21"/>
        <v>1</v>
      </c>
      <c r="J67" s="91">
        <f t="shared" si="21"/>
        <v>3</v>
      </c>
      <c r="K67" s="91">
        <f t="shared" si="21"/>
        <v>0</v>
      </c>
      <c r="N67" s="32" t="str">
        <f>Наука!B4</f>
        <v>Письменность</v>
      </c>
      <c r="O67" s="32" t="str">
        <f>Наука!B15</f>
        <v>Печатный станок</v>
      </c>
      <c r="P67" s="32" t="str">
        <f>Наука!B22</f>
        <v>Химия</v>
      </c>
      <c r="Q67" s="32" t="str">
        <f>Наука!B40</f>
        <v>Компьютеры</v>
      </c>
      <c r="S67">
        <v>1</v>
      </c>
      <c r="T67">
        <v>2</v>
      </c>
      <c r="U67">
        <v>3</v>
      </c>
      <c r="V67">
        <v>4</v>
      </c>
    </row>
    <row r="68" spans="2:22" x14ac:dyDescent="0.25">
      <c r="B68" s="15" t="s">
        <v>196</v>
      </c>
      <c r="D68" s="91">
        <f t="shared" si="21"/>
        <v>2</v>
      </c>
      <c r="E68" s="91">
        <f t="shared" si="21"/>
        <v>1</v>
      </c>
      <c r="F68" s="91">
        <f t="shared" si="21"/>
        <v>2</v>
      </c>
      <c r="G68" s="91">
        <f t="shared" si="21"/>
        <v>1</v>
      </c>
      <c r="H68" s="91">
        <f t="shared" si="21"/>
        <v>1</v>
      </c>
      <c r="I68" s="91">
        <f t="shared" si="21"/>
        <v>2</v>
      </c>
      <c r="J68" s="91">
        <f t="shared" si="21"/>
        <v>1</v>
      </c>
      <c r="K68" s="91">
        <f t="shared" si="21"/>
        <v>0</v>
      </c>
      <c r="N68" s="32" t="str">
        <f>Наука!B11</f>
        <v>Свод законов</v>
      </c>
      <c r="O68" s="32" t="str">
        <f>Наука!B14</f>
        <v>Рыцарство</v>
      </c>
      <c r="P68" s="32" t="str">
        <f>Наука!B29</f>
        <v>Военное дело</v>
      </c>
      <c r="Q68" s="32" t="str">
        <f>Наука!B37</f>
        <v>Универсализация</v>
      </c>
      <c r="S68">
        <v>1</v>
      </c>
      <c r="T68">
        <v>2</v>
      </c>
      <c r="U68">
        <v>3</v>
      </c>
      <c r="V68">
        <v>4</v>
      </c>
    </row>
    <row r="69" spans="2:22" x14ac:dyDescent="0.25">
      <c r="B69" s="15" t="s">
        <v>198</v>
      </c>
      <c r="D69" s="91">
        <f t="shared" ref="D69:K69" si="22">MAX((VLOOKUP($N69,$B$2:$K$46,D$55,0)&lt;&gt;"")*$S69,(VLOOKUP($O69,$B$2:$K$46,D$55,0)&lt;&gt;"")*$T69,(VLOOKUP($P69,$B$2:$K$46,D$55,0)&lt;&gt;"")*$U69,(VLOOKUP($Q69,$B$2:$K$46,D$55,0)&lt;&gt;"")*$V69)</f>
        <v>2</v>
      </c>
      <c r="E69" s="91">
        <f t="shared" si="22"/>
        <v>0</v>
      </c>
      <c r="F69" s="91">
        <f t="shared" si="22"/>
        <v>2</v>
      </c>
      <c r="G69" s="91">
        <f t="shared" si="22"/>
        <v>2</v>
      </c>
      <c r="H69" s="91">
        <f t="shared" si="22"/>
        <v>2</v>
      </c>
      <c r="I69" s="91">
        <f t="shared" si="22"/>
        <v>2</v>
      </c>
      <c r="J69" s="91">
        <f t="shared" si="22"/>
        <v>2</v>
      </c>
      <c r="K69" s="91">
        <f t="shared" si="22"/>
        <v>0</v>
      </c>
      <c r="N69" s="32" t="str">
        <f>Наука!B9</f>
        <v>Каменная кладка</v>
      </c>
      <c r="O69" s="32"/>
      <c r="P69" s="32"/>
      <c r="Q69" s="32"/>
      <c r="S69">
        <v>2</v>
      </c>
    </row>
    <row r="70" spans="2:22" x14ac:dyDescent="0.25">
      <c r="B70" t="s">
        <v>200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</row>
    <row r="72" spans="2:22" x14ac:dyDescent="0.25">
      <c r="B72" s="306" t="s">
        <v>364</v>
      </c>
      <c r="C72" s="15"/>
      <c r="D72" s="91" t="str">
        <f ca="1">D71&amp;IF(D65&gt;0,OFFSET(База!$B21,0,D65)&amp;" ("&amp;$B65&amp;", цена "&amp;D65*База!$I$5&amp;База!$L$2&amp;")"&amp;IF(SUM(D66:D$70)&gt;0,", ",""),"")</f>
        <v xml:space="preserve">завод (производство, цена 8Мл), </v>
      </c>
      <c r="E72" s="91" t="str">
        <f ca="1">E71&amp;IF(E65&gt;0,OFFSET(База!$B21,0,E65)&amp;" ("&amp;$B65&amp;", цена "&amp;E65*База!$I$5&amp;База!$L$2&amp;")"&amp;IF(SUM(E66:E$70)&gt;0,", ",""),"")</f>
        <v xml:space="preserve">мастерская (производство, цена 4Мл), </v>
      </c>
      <c r="F72" s="91" t="str">
        <f ca="1">F71&amp;IF(F65&gt;0,OFFSET(База!$B21,0,F65)&amp;" ("&amp;$B65&amp;", цена "&amp;F65*База!$I$5&amp;База!$L$2&amp;")"&amp;IF(SUM(F66:F$70)&gt;0,", ",""),"")</f>
        <v xml:space="preserve">мастерская (производство, цена 4Мл), </v>
      </c>
      <c r="G72" s="91" t="str">
        <f ca="1">G71&amp;IF(G65&gt;0,OFFSET(База!$B21,0,G65)&amp;" ("&amp;$B65&amp;", цена "&amp;G65*База!$I$5&amp;База!$L$2&amp;")"&amp;IF(SUM(G66:G$70)&gt;0,", ",""),"")</f>
        <v xml:space="preserve">завод (производство, цена 8Мл), </v>
      </c>
      <c r="H72" s="91" t="str">
        <f ca="1">H71&amp;IF(H65&gt;0,OFFSET(База!$B21,0,H65)&amp;" ("&amp;$B65&amp;", цена "&amp;H65*База!$I$5&amp;База!$L$2&amp;")"&amp;IF(SUM(H66:H$70)&gt;0,", ",""),"")</f>
        <v xml:space="preserve">завод (производство, цена 8Мл), </v>
      </c>
      <c r="I72" s="91" t="str">
        <f ca="1">I71&amp;IF(I65&gt;0,OFFSET(База!$B21,0,I65)&amp;" ("&amp;$B65&amp;", цена "&amp;I65*База!$I$5&amp;База!$L$2&amp;")"&amp;IF(SUM(I66:I$70)&gt;0,", ",""),"")</f>
        <v xml:space="preserve">завод (производство, цена 8Мл), </v>
      </c>
      <c r="J72" s="91" t="str">
        <f ca="1">J71&amp;IF(J65&gt;0,OFFSET(База!$B21,0,J65)&amp;" ("&amp;$B65&amp;", цена "&amp;J65*База!$I$5&amp;База!$L$2&amp;")"&amp;IF(SUM(J66:J$70)&gt;0,", ",""),"")</f>
        <v xml:space="preserve">мастерская (производство, цена 4Мл), </v>
      </c>
      <c r="K72" s="91" t="str">
        <f ca="1">K71&amp;IF(K65&gt;0,OFFSET(База!$B21,0,K65)&amp;" ("&amp;$B65&amp;", цена "&amp;K65*База!$I$5&amp;База!$L$2&amp;")"&amp;IF(SUM(K66:K$70)&gt;0,", ",""),"")</f>
        <v/>
      </c>
    </row>
    <row r="73" spans="2:22" x14ac:dyDescent="0.25">
      <c r="B73" s="307"/>
      <c r="C73" s="15"/>
      <c r="D73" s="91" t="str">
        <f ca="1">D72&amp;IF(D66&gt;0,OFFSET(База!$B22,0,D66)&amp;" ("&amp;$B66&amp;", цена "&amp;D66*База!$I$5&amp;База!$L$2&amp;")"&amp;IF(SUM(D67:D$70)&gt;0,", ",""),"")</f>
        <v xml:space="preserve">завод (производство, цена 8Мл), банк (торговля, цена 6Мл), </v>
      </c>
      <c r="E73" s="91" t="str">
        <f ca="1">E72&amp;IF(E66&gt;0,OFFSET(База!$B22,0,E66)&amp;" ("&amp;$B66&amp;", цена "&amp;E66*База!$I$5&amp;База!$L$2&amp;")"&amp;IF(SUM(E67:E$70)&gt;0,", ",""),"")</f>
        <v xml:space="preserve">мастерская (производство, цена 4Мл), </v>
      </c>
      <c r="F73" s="91" t="str">
        <f ca="1">F72&amp;IF(F66&gt;0,OFFSET(База!$B22,0,F66)&amp;" ("&amp;$B66&amp;", цена "&amp;F66*База!$I$5&amp;База!$L$2&amp;")"&amp;IF(SUM(F67:F$70)&gt;0,", ",""),"")</f>
        <v xml:space="preserve">мастерская (производство, цена 4Мл), базар (торговля, цена 4Мл), </v>
      </c>
      <c r="G73" s="91" t="str">
        <f ca="1">G72&amp;IF(G66&gt;0,OFFSET(База!$B22,0,G66)&amp;" ("&amp;$B66&amp;", цена "&amp;G66*База!$I$5&amp;База!$L$2&amp;")"&amp;IF(SUM(G67:G$70)&gt;0,", ",""),"")</f>
        <v xml:space="preserve">завод (производство, цена 8Мл), банк (торговля, цена 6Мл), </v>
      </c>
      <c r="H73" s="91" t="str">
        <f ca="1">H72&amp;IF(H66&gt;0,OFFSET(База!$B22,0,H66)&amp;" ("&amp;$B66&amp;", цена "&amp;H66*База!$I$5&amp;База!$L$2&amp;")"&amp;IF(SUM(H67:H$70)&gt;0,", ",""),"")</f>
        <v xml:space="preserve">завод (производство, цена 8Мл), банк (торговля, цена 6Мл), </v>
      </c>
      <c r="I73" s="91" t="str">
        <f ca="1">I72&amp;IF(I66&gt;0,OFFSET(База!$B22,0,I66)&amp;" ("&amp;$B66&amp;", цена "&amp;I66*База!$I$5&amp;База!$L$2&amp;")"&amp;IF(SUM(I67:I$70)&gt;0,", ",""),"")</f>
        <v xml:space="preserve">завод (производство, цена 8Мл), базар (торговля, цена 4Мл), </v>
      </c>
      <c r="J73" s="91" t="str">
        <f ca="1">J72&amp;IF(J66&gt;0,OFFSET(База!$B22,0,J66)&amp;" ("&amp;$B66&amp;", цена "&amp;J66*База!$I$5&amp;База!$L$2&amp;")"&amp;IF(SUM(J67:J$70)&gt;0,", ",""),"")</f>
        <v xml:space="preserve">мастерская (производство, цена 4Мл), базар (торговля, цена 4Мл), </v>
      </c>
      <c r="K73" s="91" t="str">
        <f ca="1">K72&amp;IF(K66&gt;0,OFFSET(База!$B22,0,K66)&amp;" ("&amp;$B66&amp;", цена "&amp;K66*База!$I$5&amp;База!$L$2&amp;")"&amp;IF(SUM(K67:K$70)&gt;0,", ",""),"")</f>
        <v/>
      </c>
    </row>
    <row r="74" spans="2:22" x14ac:dyDescent="0.25">
      <c r="B74" s="307"/>
      <c r="C74" s="15"/>
      <c r="D74" s="91" t="str">
        <f ca="1">D73&amp;IF(D67&gt;0,OFFSET(База!$B23,0,D67)&amp;" ("&amp;$B67&amp;", цена "&amp;D67*База!$I$5&amp;База!$L$2&amp;")"&amp;IF(SUM(D68:D$70)&gt;0,", ",""),"")</f>
        <v xml:space="preserve">завод (производство, цена 8Мл), банк (торговля, цена 6Мл), лаборатория (наука, цена 6Мл), </v>
      </c>
      <c r="E74" s="91" t="str">
        <f ca="1">E73&amp;IF(E67&gt;0,OFFSET(База!$B23,0,E67)&amp;" ("&amp;$B67&amp;", цена "&amp;E67*База!$I$5&amp;База!$L$2&amp;")"&amp;IF(SUM(E68:E$70)&gt;0,", ",""),"")</f>
        <v xml:space="preserve">мастерская (производство, цена 4Мл), библиотека (наука, цена 2Мл), </v>
      </c>
      <c r="F74" s="91" t="str">
        <f ca="1">F73&amp;IF(F67&gt;0,OFFSET(База!$B23,0,F67)&amp;" ("&amp;$B67&amp;", цена "&amp;F67*База!$I$5&amp;База!$L$2&amp;")"&amp;IF(SUM(F68:F$70)&gt;0,", ",""),"")</f>
        <v xml:space="preserve">мастерская (производство, цена 4Мл), базар (торговля, цена 4Мл), университет (наука, цена 4Мл), </v>
      </c>
      <c r="G74" s="91" t="str">
        <f ca="1">G73&amp;IF(G67&gt;0,OFFSET(База!$B23,0,G67)&amp;" ("&amp;$B67&amp;", цена "&amp;G67*База!$I$5&amp;База!$L$2&amp;")"&amp;IF(SUM(G68:G$70)&gt;0,", ",""),"")</f>
        <v xml:space="preserve">завод (производство, цена 8Мл), банк (торговля, цена 6Мл), лаборатория (наука, цена 6Мл), </v>
      </c>
      <c r="H74" s="91" t="str">
        <f ca="1">H73&amp;IF(H67&gt;0,OFFSET(База!$B23,0,H67)&amp;" ("&amp;$B67&amp;", цена "&amp;H67*База!$I$5&amp;База!$L$2&amp;")"&amp;IF(SUM(H68:H$70)&gt;0,", ",""),"")</f>
        <v xml:space="preserve">завод (производство, цена 8Мл), банк (торговля, цена 6Мл), лаборатория (наука, цена 6Мл), </v>
      </c>
      <c r="I74" s="91" t="str">
        <f ca="1">I73&amp;IF(I67&gt;0,OFFSET(База!$B23,0,I67)&amp;" ("&amp;$B67&amp;", цена "&amp;I67*База!$I$5&amp;База!$L$2&amp;")"&amp;IF(SUM(I68:I$70)&gt;0,", ",""),"")</f>
        <v xml:space="preserve">завод (производство, цена 8Мл), базар (торговля, цена 4Мл), библиотека (наука, цена 2Мл), </v>
      </c>
      <c r="J74" s="91" t="str">
        <f ca="1">J73&amp;IF(J67&gt;0,OFFSET(База!$B23,0,J67)&amp;" ("&amp;$B67&amp;", цена "&amp;J67*База!$I$5&amp;База!$L$2&amp;")"&amp;IF(SUM(J68:J$70)&gt;0,", ",""),"")</f>
        <v xml:space="preserve">мастерская (производство, цена 4Мл), базар (торговля, цена 4Мл), лаборатория (наука, цена 6Мл), </v>
      </c>
      <c r="K74" s="91" t="str">
        <f ca="1">K73&amp;IF(K67&gt;0,OFFSET(База!$B23,0,K67)&amp;" ("&amp;$B67&amp;", цена "&amp;K67*База!$I$5&amp;База!$L$2&amp;")"&amp;IF(SUM(K68:K$70)&gt;0,", ",""),"")</f>
        <v/>
      </c>
    </row>
    <row r="75" spans="2:22" x14ac:dyDescent="0.25">
      <c r="B75" s="307"/>
      <c r="C75" s="15"/>
      <c r="D75" s="91" t="str">
        <f ca="1">D74&amp;IF(D68&gt;0,OFFSET(База!$B24,0,D68)&amp;" ("&amp;$B68&amp;", цена "&amp;D68*База!$I$5&amp;База!$L$2&amp;")"&amp;IF(SUM(D69:D$70)&gt;0,", ",""),"")</f>
        <v xml:space="preserve">завод (производство, цена 8Мл), банк (торговля, цена 6Мл), лаборатория (наука, цена 6Мл), арсенал (оборона, цена 4Мл), </v>
      </c>
      <c r="E75" s="91" t="str">
        <f ca="1">E74&amp;IF(E68&gt;0,OFFSET(База!$B24,0,E68)&amp;" ("&amp;$B68&amp;", цена "&amp;E68*База!$I$5&amp;База!$L$2&amp;")"&amp;IF(SUM(E69:E$70)&gt;0,", ",""),"")</f>
        <v>мастерская (производство, цена 4Мл), библиотека (наука, цена 2Мл), казармы (оборона, цена 2Мл)</v>
      </c>
      <c r="F75" s="91" t="str">
        <f ca="1">F74&amp;IF(F68&gt;0,OFFSET(База!$B24,0,F68)&amp;" ("&amp;$B68&amp;", цена "&amp;F68*База!$I$5&amp;База!$L$2&amp;")"&amp;IF(SUM(F69:F$70)&gt;0,", ",""),"")</f>
        <v xml:space="preserve">мастерская (производство, цена 4Мл), базар (торговля, цена 4Мл), университет (наука, цена 4Мл), арсенал (оборона, цена 4Мл), </v>
      </c>
      <c r="G75" s="91" t="str">
        <f ca="1">G74&amp;IF(G68&gt;0,OFFSET(База!$B24,0,G68)&amp;" ("&amp;$B68&amp;", цена "&amp;G68*База!$I$5&amp;База!$L$2&amp;")"&amp;IF(SUM(G69:G$70)&gt;0,", ",""),"")</f>
        <v xml:space="preserve">завод (производство, цена 8Мл), банк (торговля, цена 6Мл), лаборатория (наука, цена 6Мл), казармы (оборона, цена 2Мл), </v>
      </c>
      <c r="H75" s="91" t="str">
        <f ca="1">H74&amp;IF(H68&gt;0,OFFSET(База!$B24,0,H68)&amp;" ("&amp;$B68&amp;", цена "&amp;H68*База!$I$5&amp;База!$L$2&amp;")"&amp;IF(SUM(H69:H$70)&gt;0,", ",""),"")</f>
        <v xml:space="preserve">завод (производство, цена 8Мл), банк (торговля, цена 6Мл), лаборатория (наука, цена 6Мл), казармы (оборона, цена 2Мл), </v>
      </c>
      <c r="I75" s="91" t="str">
        <f ca="1">I74&amp;IF(I68&gt;0,OFFSET(База!$B24,0,I68)&amp;" ("&amp;$B68&amp;", цена "&amp;I68*База!$I$5&amp;База!$L$2&amp;")"&amp;IF(SUM(I69:I$70)&gt;0,", ",""),"")</f>
        <v xml:space="preserve">завод (производство, цена 8Мл), базар (торговля, цена 4Мл), библиотека (наука, цена 2Мл), арсенал (оборона, цена 4Мл), </v>
      </c>
      <c r="J75" s="91" t="str">
        <f ca="1">J74&amp;IF(J68&gt;0,OFFSET(База!$B24,0,J68)&amp;" ("&amp;$B68&amp;", цена "&amp;J68*База!$I$5&amp;База!$L$2&amp;")"&amp;IF(SUM(J69:J$70)&gt;0,", ",""),"")</f>
        <v xml:space="preserve">мастерская (производство, цена 4Мл), базар (торговля, цена 4Мл), лаборатория (наука, цена 6Мл), казармы (оборона, цена 2Мл), </v>
      </c>
      <c r="K75" s="91" t="str">
        <f ca="1">K74&amp;IF(K68&gt;0,OFFSET(База!$B24,0,K68)&amp;" ("&amp;$B68&amp;", цена "&amp;K68*База!$I$5&amp;База!$L$2&amp;")"&amp;IF(SUM(K69:K$70)&gt;0,", ",""),"")</f>
        <v/>
      </c>
    </row>
    <row r="76" spans="2:22" x14ac:dyDescent="0.25">
      <c r="B76" s="308"/>
      <c r="C76" s="15"/>
      <c r="D76" s="91" t="str">
        <f ca="1">D75&amp;IF(D69&gt;0,OFFSET(База!$B25,0,D69)&amp;" ("&amp;$B69&amp;", цена "&amp;D69*База!$I$5&amp;База!$L$2&amp;")"&amp;IF(SUM(D70:D$70)&gt;0,", ",""),"")</f>
        <v>завод (производство, цена 8Мл), банк (торговля, цена 6Мл), лаборатория (наука, цена 6Мл), арсенал (оборона, цена 4Мл), стены (укрепления, цена 4Мл)</v>
      </c>
      <c r="E76" s="91" t="str">
        <f ca="1">E75&amp;IF(E69&gt;0,OFFSET(База!$B25,0,E69)&amp;" ("&amp;$B69&amp;", цена "&amp;E69*База!$I$5&amp;База!$L$2&amp;")"&amp;IF(SUM(E70:E$70)&gt;0,", ",""),"")</f>
        <v>мастерская (производство, цена 4Мл), библиотека (наука, цена 2Мл), казармы (оборона, цена 2Мл)</v>
      </c>
      <c r="F76" s="91" t="str">
        <f ca="1">F75&amp;IF(F69&gt;0,OFFSET(База!$B25,0,F69)&amp;" ("&amp;$B69&amp;", цена "&amp;F69*База!$I$5&amp;База!$L$2&amp;")"&amp;IF(SUM(F70:F$70)&gt;0,", ",""),"")</f>
        <v>мастерская (производство, цена 4Мл), базар (торговля, цена 4Мл), университет (наука, цена 4Мл), арсенал (оборона, цена 4Мл), стены (укрепления, цена 4Мл)</v>
      </c>
      <c r="G76" s="91" t="str">
        <f ca="1">G75&amp;IF(G69&gt;0,OFFSET(База!$B25,0,G69)&amp;" ("&amp;$B69&amp;", цена "&amp;G69*База!$I$5&amp;База!$L$2&amp;")"&amp;IF(SUM(G70:G$70)&gt;0,", ",""),"")</f>
        <v>завод (производство, цена 8Мл), банк (торговля, цена 6Мл), лаборатория (наука, цена 6Мл), казармы (оборона, цена 2Мл), стены (укрепления, цена 4Мл)</v>
      </c>
      <c r="H76" s="91" t="str">
        <f ca="1">H75&amp;IF(H69&gt;0,OFFSET(База!$B25,0,H69)&amp;" ("&amp;$B69&amp;", цена "&amp;H69*База!$I$5&amp;База!$L$2&amp;")"&amp;IF(SUM(H70:H$70)&gt;0,", ",""),"")</f>
        <v>завод (производство, цена 8Мл), банк (торговля, цена 6Мл), лаборатория (наука, цена 6Мл), казармы (оборона, цена 2Мл), стены (укрепления, цена 4Мл)</v>
      </c>
      <c r="I76" s="91" t="str">
        <f ca="1">I75&amp;IF(I69&gt;0,OFFSET(База!$B25,0,I69)&amp;" ("&amp;$B69&amp;", цена "&amp;I69*База!$I$5&amp;База!$L$2&amp;")"&amp;IF(SUM(I70:I$70)&gt;0,", ",""),"")</f>
        <v>завод (производство, цена 8Мл), базар (торговля, цена 4Мл), библиотека (наука, цена 2Мл), арсенал (оборона, цена 4Мл), стены (укрепления, цена 4Мл)</v>
      </c>
      <c r="J76" s="240" t="str">
        <f ca="1">J75&amp;IF(J69&gt;0,OFFSET(База!$B25,0,J69)&amp;" ("&amp;$B69&amp;", цена "&amp;J69*База!$I$5&amp;База!$L$2&amp;")"&amp;IF(SUM(J70:J$70)&gt;0,", ",""),"")</f>
        <v>мастерская (производство, цена 4Мл), базар (торговля, цена 4Мл), лаборатория (наука, цена 6Мл), казармы (оборона, цена 2Мл), стены (укрепления, цена 4Мл)</v>
      </c>
      <c r="K76" s="91" t="str">
        <f ca="1">K75&amp;IF(K69&gt;0,OFFSET(База!$B25,0,K69)&amp;" ("&amp;$B69&amp;", цена "&amp;K69*База!$I$5&amp;База!$L$2&amp;")"&amp;IF(SUM(K70:K$70)&gt;0,", ",""),"")</f>
        <v/>
      </c>
    </row>
    <row r="77" spans="2:22" x14ac:dyDescent="0.25">
      <c r="N77" s="15">
        <v>1</v>
      </c>
      <c r="O77" s="15">
        <v>2</v>
      </c>
      <c r="P77" s="15">
        <v>3</v>
      </c>
      <c r="Q77" s="15">
        <v>4</v>
      </c>
    </row>
    <row r="78" spans="2:22" x14ac:dyDescent="0.25">
      <c r="B78" s="15" t="s">
        <v>160</v>
      </c>
      <c r="D78" s="91">
        <f t="shared" ref="D78:K78" si="23">MAX((VLOOKUP($N78,$B$1:$K$46,D$55,0)&lt;&gt;"")*$S78,(VLOOKUP($O78,$B$2:$K$46,D$55,0)&lt;&gt;"")*$T78,(VLOOKUP($P78,$B$2:$K$46,D$55,0)&lt;&gt;"")*$U78,(VLOOKUP($Q78,$B$2:$K$46,D$55,0)&lt;&gt;"")*$V78)</f>
        <v>3</v>
      </c>
      <c r="E78" s="91">
        <f t="shared" si="23"/>
        <v>1</v>
      </c>
      <c r="F78" s="91">
        <f t="shared" si="23"/>
        <v>1</v>
      </c>
      <c r="G78" s="91">
        <f t="shared" si="23"/>
        <v>3</v>
      </c>
      <c r="H78" s="91">
        <f t="shared" si="23"/>
        <v>3</v>
      </c>
      <c r="I78" s="91">
        <f t="shared" si="23"/>
        <v>1</v>
      </c>
      <c r="J78" s="91">
        <f t="shared" si="23"/>
        <v>3</v>
      </c>
      <c r="K78" s="91">
        <f t="shared" si="23"/>
        <v>1</v>
      </c>
      <c r="N78" s="15" t="str">
        <f>Наука!B1</f>
        <v>Технология</v>
      </c>
      <c r="O78" s="15" t="str">
        <f>Наука!B13</f>
        <v>Монархия</v>
      </c>
      <c r="P78" s="15" t="str">
        <f>Наука!B22</f>
        <v>Химия</v>
      </c>
      <c r="Q78" s="15" t="str">
        <f>Наука!B37</f>
        <v>Универсализация</v>
      </c>
      <c r="S78">
        <v>1</v>
      </c>
      <c r="T78">
        <v>2</v>
      </c>
      <c r="U78">
        <v>3</v>
      </c>
      <c r="V78">
        <v>4</v>
      </c>
    </row>
    <row r="79" spans="2:22" x14ac:dyDescent="0.25">
      <c r="B79" s="15" t="s">
        <v>159</v>
      </c>
      <c r="D79" s="91">
        <f t="shared" ref="D79:K82" si="24">MAX((VLOOKUP($N79,$B$2:$K$46,D$55,0)&lt;&gt;"")*$S79,(VLOOKUP($O79,$B$2:$K$46,D$55,0)&lt;&gt;"")*$T79,(VLOOKUP($P79,$B$2:$K$46,D$55,0)&lt;&gt;"")*$U79,(VLOOKUP($Q79,$B$2:$K$46,D$55,0)&lt;&gt;"")*$V79)</f>
        <v>4</v>
      </c>
      <c r="E79" s="91">
        <f t="shared" si="24"/>
        <v>0</v>
      </c>
      <c r="F79" s="91">
        <f t="shared" si="24"/>
        <v>2</v>
      </c>
      <c r="G79" s="91">
        <f t="shared" si="24"/>
        <v>1</v>
      </c>
      <c r="H79" s="91">
        <f t="shared" si="24"/>
        <v>0</v>
      </c>
      <c r="I79" s="91">
        <f t="shared" si="24"/>
        <v>2</v>
      </c>
      <c r="J79" s="91">
        <f t="shared" si="24"/>
        <v>0</v>
      </c>
      <c r="K79" s="91">
        <f t="shared" si="24"/>
        <v>0</v>
      </c>
      <c r="N79" s="15" t="str">
        <f>Наука!B2</f>
        <v>Верховая езда</v>
      </c>
      <c r="O79" s="15" t="str">
        <f>Наука!B14</f>
        <v>Рыцарство</v>
      </c>
      <c r="P79" s="15" t="str">
        <f>Наука!B29</f>
        <v>Военное дело</v>
      </c>
      <c r="Q79" s="15" t="str">
        <f>Наука!B35</f>
        <v>ДВС</v>
      </c>
      <c r="S79">
        <v>1</v>
      </c>
      <c r="T79">
        <v>2</v>
      </c>
      <c r="U79">
        <v>3</v>
      </c>
      <c r="V79">
        <v>4</v>
      </c>
    </row>
    <row r="80" spans="2:22" x14ac:dyDescent="0.25">
      <c r="B80" s="15" t="s">
        <v>161</v>
      </c>
      <c r="D80" s="91">
        <f t="shared" si="24"/>
        <v>3</v>
      </c>
      <c r="E80" s="91">
        <f t="shared" si="24"/>
        <v>2</v>
      </c>
      <c r="F80" s="91">
        <f t="shared" si="24"/>
        <v>2</v>
      </c>
      <c r="G80" s="91">
        <f t="shared" si="24"/>
        <v>2</v>
      </c>
      <c r="H80" s="91">
        <f t="shared" si="24"/>
        <v>3</v>
      </c>
      <c r="I80" s="91">
        <f t="shared" si="24"/>
        <v>1</v>
      </c>
      <c r="J80" s="91">
        <f t="shared" si="24"/>
        <v>1</v>
      </c>
      <c r="K80" s="91">
        <f t="shared" si="24"/>
        <v>1</v>
      </c>
      <c r="N80" s="15" t="str">
        <f>Наука!B5</f>
        <v>Охота</v>
      </c>
      <c r="O80" s="15" t="str">
        <f>Наука!B20</f>
        <v>Стратегия</v>
      </c>
      <c r="P80" s="15" t="str">
        <f>Наука!B23</f>
        <v>Железные дороги</v>
      </c>
      <c r="Q80" s="15" t="str">
        <f>Наука!B32</f>
        <v>Коммунизм</v>
      </c>
      <c r="S80">
        <v>1</v>
      </c>
      <c r="T80">
        <v>2</v>
      </c>
      <c r="U80">
        <v>3</v>
      </c>
      <c r="V80">
        <v>4</v>
      </c>
    </row>
    <row r="81" spans="2:22" x14ac:dyDescent="0.25">
      <c r="B81" s="15" t="s">
        <v>162</v>
      </c>
      <c r="D81" s="91">
        <f t="shared" si="24"/>
        <v>4</v>
      </c>
      <c r="E81" s="91">
        <f t="shared" si="24"/>
        <v>2</v>
      </c>
      <c r="F81" s="91">
        <f t="shared" si="24"/>
        <v>0</v>
      </c>
      <c r="G81" s="91">
        <f t="shared" si="24"/>
        <v>4</v>
      </c>
      <c r="H81" s="91">
        <f t="shared" si="24"/>
        <v>4</v>
      </c>
      <c r="I81" s="91">
        <f t="shared" si="24"/>
        <v>4</v>
      </c>
      <c r="J81" s="91">
        <f t="shared" si="24"/>
        <v>2</v>
      </c>
      <c r="K81" s="91">
        <f t="shared" si="24"/>
        <v>1</v>
      </c>
      <c r="N81" s="15" t="str">
        <f>Наука!B5</f>
        <v>Охота</v>
      </c>
      <c r="O81" s="15" t="str">
        <f>Наука!B17</f>
        <v>Математика</v>
      </c>
      <c r="P81" s="15" t="str">
        <f>Наука!B25</f>
        <v>Литье металла</v>
      </c>
      <c r="Q81" s="15" t="str">
        <f>Наука!B34</f>
        <v>Ракеты</v>
      </c>
      <c r="S81">
        <v>1</v>
      </c>
      <c r="T81">
        <v>2</v>
      </c>
      <c r="U81">
        <v>3</v>
      </c>
      <c r="V81">
        <v>4</v>
      </c>
    </row>
    <row r="82" spans="2:22" x14ac:dyDescent="0.25">
      <c r="B82" s="15" t="s">
        <v>163</v>
      </c>
      <c r="D82" s="91">
        <f t="shared" si="24"/>
        <v>4</v>
      </c>
      <c r="E82" s="91">
        <f t="shared" si="24"/>
        <v>0</v>
      </c>
      <c r="F82" s="91">
        <f t="shared" si="24"/>
        <v>3</v>
      </c>
      <c r="G82" s="91">
        <f t="shared" si="24"/>
        <v>3</v>
      </c>
      <c r="H82" s="91">
        <f t="shared" si="24"/>
        <v>4</v>
      </c>
      <c r="I82" s="91">
        <f t="shared" si="24"/>
        <v>4</v>
      </c>
      <c r="J82" s="91">
        <f t="shared" si="24"/>
        <v>3</v>
      </c>
      <c r="K82" s="91">
        <f t="shared" si="24"/>
        <v>0</v>
      </c>
      <c r="N82" s="15" t="str">
        <f>Наука!B31</f>
        <v>Полет</v>
      </c>
      <c r="O82" s="15" t="str">
        <f>N82</f>
        <v>Полет</v>
      </c>
      <c r="P82" s="15" t="str">
        <f>O82</f>
        <v>Полет</v>
      </c>
      <c r="Q82" s="15" t="str">
        <f>Наука!B39</f>
        <v>Реактивные двигатели</v>
      </c>
      <c r="S82">
        <v>1</v>
      </c>
      <c r="T82">
        <v>2</v>
      </c>
      <c r="U82">
        <v>3</v>
      </c>
      <c r="V82">
        <v>4</v>
      </c>
    </row>
    <row r="83" spans="2:22" x14ac:dyDescent="0.25"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</row>
    <row r="85" spans="2:22" x14ac:dyDescent="0.25">
      <c r="B85" s="306" t="s">
        <v>365</v>
      </c>
      <c r="C85" s="15"/>
      <c r="D85" s="91" t="str">
        <f ca="1">D84&amp;IF(D78&gt;0,OFFSET(База!$B13,0,D78)&amp;" ("&amp;$B78&amp;", "&amp;D78*База!$I$4&amp;База!$L$2&amp;")"&amp;IF(SUM(D79:D$83)&gt;0,", ",""),"")</f>
        <v xml:space="preserve">Аркебузеры (пехотное, 6Мл), </v>
      </c>
      <c r="E85" s="91" t="str">
        <f ca="1">E84&amp;IF(E78&gt;0,OFFSET(База!$B13,0,E78)&amp;" ("&amp;$B78&amp;", "&amp;E78*База!$I$4&amp;База!$L$2&amp;")"&amp;IF(SUM(E79:E$83)&gt;0,", ",""),"")</f>
        <v xml:space="preserve">Ватага (пехотное, 2Мл), </v>
      </c>
      <c r="F85" s="91" t="str">
        <f ca="1">F84&amp;IF(F78&gt;0,OFFSET(База!$B13,0,F78)&amp;" ("&amp;$B78&amp;", "&amp;F78*База!$I$4&amp;База!$L$2&amp;")"&amp;IF(SUM(F79:F$83)&gt;0,", ",""),"")</f>
        <v xml:space="preserve">Ватага (пехотное, 2Мл), </v>
      </c>
      <c r="G85" s="91" t="str">
        <f ca="1">G84&amp;IF(G78&gt;0,OFFSET(База!$B13,0,G78)&amp;" ("&amp;$B78&amp;", "&amp;G78*База!$I$4&amp;База!$L$2&amp;")"&amp;IF(SUM(G79:G$83)&gt;0,", ",""),"")</f>
        <v xml:space="preserve">Аркебузеры (пехотное, 6Мл), </v>
      </c>
      <c r="H85" s="91" t="str">
        <f ca="1">H84&amp;IF(H78&gt;0,OFFSET(База!$B13,0,H78)&amp;" ("&amp;$B78&amp;", "&amp;H78*База!$I$4&amp;База!$L$2&amp;")"&amp;IF(SUM(H79:H$83)&gt;0,", ",""),"")</f>
        <v xml:space="preserve">Аркебузеры (пехотное, 6Мл), </v>
      </c>
      <c r="I85" s="91" t="str">
        <f ca="1">I84&amp;IF(I78&gt;0,OFFSET(База!$B13,0,I78)&amp;" ("&amp;$B78&amp;", "&amp;I78*База!$I$4&amp;База!$L$2&amp;")"&amp;IF(SUM(I79:I$83)&gt;0,", ",""),"")</f>
        <v xml:space="preserve">Ватага (пехотное, 2Мл), </v>
      </c>
      <c r="J85" s="91" t="str">
        <f ca="1">J84&amp;IF(J78&gt;0,OFFSET(База!$B13,0,J78)&amp;" ("&amp;$B78&amp;", "&amp;J78*База!$I$4&amp;База!$L$2&amp;")"&amp;IF(SUM(J79:J$83)&gt;0,", ",""),"")</f>
        <v xml:space="preserve">Аркебузеры (пехотное, 6Мл), </v>
      </c>
      <c r="K85" s="91" t="str">
        <f ca="1">K84&amp;IF(K78&gt;0,OFFSET(База!$B13,0,K78)&amp;" ("&amp;$B78&amp;", "&amp;K78*База!$I$4&amp;База!$L$2&amp;")"&amp;IF(SUM(K79:K$83)&gt;0,", ",""),"")</f>
        <v xml:space="preserve">Ватага (пехотное, 2Мл), </v>
      </c>
    </row>
    <row r="86" spans="2:22" x14ac:dyDescent="0.25">
      <c r="B86" s="307"/>
      <c r="C86" s="15"/>
      <c r="D86" s="91" t="str">
        <f ca="1">D85&amp;IF(D79&gt;0,OFFSET(База!$B14,0,D79)&amp;" ("&amp;$B79&amp;", "&amp;D79*База!$I$4&amp;База!$L$2&amp;")"&amp;IF(SUM(D80:D$83)&gt;0,", ",""),"")</f>
        <v xml:space="preserve">Аркебузеры (пехотное, 6Мл), Танки (мобильное, 8Мл), </v>
      </c>
      <c r="E86" s="91" t="str">
        <f ca="1">E85&amp;IF(E79&gt;0,OFFSET(База!$B14,0,E79)&amp;" ("&amp;$B79&amp;", "&amp;E79*База!$I$4&amp;База!$L$2&amp;")"&amp;IF(SUM(E80:E$83)&gt;0,", ",""),"")</f>
        <v xml:space="preserve">Ватага (пехотное, 2Мл), </v>
      </c>
      <c r="F86" s="91" t="str">
        <f ca="1">F85&amp;IF(F79&gt;0,OFFSET(База!$B14,0,F79)&amp;" ("&amp;$B79&amp;", "&amp;F79*База!$I$4&amp;База!$L$2&amp;")"&amp;IF(SUM(F80:F$83)&gt;0,", ",""),"")</f>
        <v xml:space="preserve">Ватага (пехотное, 2Мл), Рыцари (мобильное, 4Мл), </v>
      </c>
      <c r="G86" s="91" t="str">
        <f ca="1">G85&amp;IF(G79&gt;0,OFFSET(База!$B14,0,G79)&amp;" ("&amp;$B79&amp;", "&amp;G79*База!$I$4&amp;База!$L$2&amp;")"&amp;IF(SUM(G80:G$83)&gt;0,", ",""),"")</f>
        <v xml:space="preserve">Аркебузеры (пехотное, 6Мл), Всадники (мобильное, 2Мл), </v>
      </c>
      <c r="H86" s="91" t="str">
        <f ca="1">H85&amp;IF(H79&gt;0,OFFSET(База!$B14,0,H79)&amp;" ("&amp;$B79&amp;", "&amp;H79*База!$I$4&amp;База!$L$2&amp;")"&amp;IF(SUM(H80:H$83)&gt;0,", ",""),"")</f>
        <v xml:space="preserve">Аркебузеры (пехотное, 6Мл), </v>
      </c>
      <c r="I86" s="91" t="str">
        <f ca="1">I85&amp;IF(I79&gt;0,OFFSET(База!$B14,0,I79)&amp;" ("&amp;$B79&amp;", "&amp;I79*База!$I$4&amp;База!$L$2&amp;")"&amp;IF(SUM(I80:I$83)&gt;0,", ",""),"")</f>
        <v xml:space="preserve">Ватага (пехотное, 2Мл), Рыцари (мобильное, 4Мл), </v>
      </c>
      <c r="J86" s="91" t="str">
        <f ca="1">J85&amp;IF(J79&gt;0,OFFSET(База!$B14,0,J79)&amp;" ("&amp;$B79&amp;", "&amp;J79*База!$I$4&amp;База!$L$2&amp;")"&amp;IF(SUM(J80:J$83)&gt;0,", ",""),"")</f>
        <v xml:space="preserve">Аркебузеры (пехотное, 6Мл), </v>
      </c>
      <c r="K86" s="91" t="str">
        <f ca="1">K85&amp;IF(K79&gt;0,OFFSET(База!$B14,0,K79)&amp;" ("&amp;$B79&amp;", "&amp;K79*База!$I$4&amp;База!$L$2&amp;")"&amp;IF(SUM(K80:K$83)&gt;0,", ",""),"")</f>
        <v xml:space="preserve">Ватага (пехотное, 2Мл), </v>
      </c>
    </row>
    <row r="87" spans="2:22" x14ac:dyDescent="0.25">
      <c r="B87" s="307"/>
      <c r="C87" s="15"/>
      <c r="D87" s="91" t="str">
        <f ca="1">D86&amp;IF(D80&gt;0,OFFSET(База!$B15,0,D80)&amp;" ("&amp;$B80&amp;", "&amp;D80*База!$I$4&amp;База!$L$2&amp;")"&amp;IF(SUM(D81:D$83)&gt;0,", ",""),"")</f>
        <v xml:space="preserve">Аркебузеры (пехотное, 6Мл), Танки (мобильное, 8Мл), Пулеметчики (заградит., 6Мл), </v>
      </c>
      <c r="E87" s="91" t="str">
        <f ca="1">E86&amp;IF(E80&gt;0,OFFSET(База!$B15,0,E80)&amp;" ("&amp;$B80&amp;", "&amp;E80*База!$I$4&amp;База!$L$2&amp;")"&amp;IF(SUM(E81:E$83)&gt;0,", ",""),"")</f>
        <v xml:space="preserve">Ватага (пехотное, 2Мл), Пикинеры (заградит., 4Мл), </v>
      </c>
      <c r="F87" s="91" t="str">
        <f ca="1">F86&amp;IF(F80&gt;0,OFFSET(База!$B15,0,F80)&amp;" ("&amp;$B80&amp;", "&amp;F80*База!$I$4&amp;База!$L$2&amp;")"&amp;IF(SUM(F81:F$83)&gt;0,", ",""),"")</f>
        <v xml:space="preserve">Ватага (пехотное, 2Мл), Рыцари (мобильное, 4Мл), Пикинеры (заградит., 4Мл), </v>
      </c>
      <c r="G87" s="91" t="str">
        <f ca="1">G86&amp;IF(G80&gt;0,OFFSET(База!$B15,0,G80)&amp;" ("&amp;$B80&amp;", "&amp;G80*База!$I$4&amp;База!$L$2&amp;")"&amp;IF(SUM(G81:G$83)&gt;0,", ",""),"")</f>
        <v xml:space="preserve">Аркебузеры (пехотное, 6Мл), Всадники (мобильное, 2Мл), Пикинеры (заградит., 4Мл), </v>
      </c>
      <c r="H87" s="91" t="str">
        <f ca="1">H86&amp;IF(H80&gt;0,OFFSET(База!$B15,0,H80)&amp;" ("&amp;$B80&amp;", "&amp;H80*База!$I$4&amp;База!$L$2&amp;")"&amp;IF(SUM(H81:H$83)&gt;0,", ",""),"")</f>
        <v xml:space="preserve">Аркебузеры (пехотное, 6Мл), Пулеметчики (заградит., 6Мл), </v>
      </c>
      <c r="I87" s="91" t="str">
        <f ca="1">I86&amp;IF(I80&gt;0,OFFSET(База!$B15,0,I80)&amp;" ("&amp;$B80&amp;", "&amp;I80*База!$I$4&amp;База!$L$2&amp;")"&amp;IF(SUM(I81:I$83)&gt;0,", ",""),"")</f>
        <v xml:space="preserve">Ватага (пехотное, 2Мл), Рыцари (мобильное, 4Мл), Копейщики (заградит., 2Мл), </v>
      </c>
      <c r="J87" s="91" t="str">
        <f ca="1">J86&amp;IF(J80&gt;0,OFFSET(База!$B15,0,J80)&amp;" ("&amp;$B80&amp;", "&amp;J80*База!$I$4&amp;База!$L$2&amp;")"&amp;IF(SUM(J81:J$83)&gt;0,", ",""),"")</f>
        <v xml:space="preserve">Аркебузеры (пехотное, 6Мл), Копейщики (заградит., 2Мл), </v>
      </c>
      <c r="K87" s="91" t="str">
        <f ca="1">K86&amp;IF(K80&gt;0,OFFSET(База!$B15,0,K80)&amp;" ("&amp;$B80&amp;", "&amp;K80*База!$I$4&amp;База!$L$2&amp;")"&amp;IF(SUM(K81:K$83)&gt;0,", ",""),"")</f>
        <v xml:space="preserve">Ватага (пехотное, 2Мл), Копейщики (заградит., 2Мл), </v>
      </c>
    </row>
    <row r="88" spans="2:22" x14ac:dyDescent="0.25">
      <c r="B88" s="307"/>
      <c r="C88" s="15"/>
      <c r="D88" s="91" t="str">
        <f ca="1">D87&amp;IF(D81&gt;0,OFFSET(База!$B16,0,D81)&amp;" ("&amp;$B81&amp;", "&amp;D81*База!$I$4&amp;База!$L$2&amp;")"&amp;IF(SUM(D82:D$83)&gt;0,", ",""),"")</f>
        <v xml:space="preserve">Аркебузеры (пехотное, 6Мл), Танки (мобильное, 8Мл), Пулеметчики (заградит., 6Мл), РЗО (поддержка, 8Мл), </v>
      </c>
      <c r="E88" s="91" t="str">
        <f ca="1">E87&amp;IF(E81&gt;0,OFFSET(База!$B16,0,E81)&amp;" ("&amp;$B81&amp;", "&amp;E81*База!$I$4&amp;База!$L$2&amp;")"&amp;IF(SUM(E82:E$83)&gt;0,", ",""),"")</f>
        <v>Ватага (пехотное, 2Мл), Пикинеры (заградит., 4Мл), Арбалетчики (поддержка, 4Мл)</v>
      </c>
      <c r="F88" s="91" t="str">
        <f ca="1">F87&amp;IF(F81&gt;0,OFFSET(База!$B16,0,F81)&amp;" ("&amp;$B81&amp;", "&amp;F81*База!$I$4&amp;База!$L$2&amp;")"&amp;IF(SUM(F82:F$83)&gt;0,", ",""),"")</f>
        <v xml:space="preserve">Ватага (пехотное, 2Мл), Рыцари (мобильное, 4Мл), Пикинеры (заградит., 4Мл), </v>
      </c>
      <c r="G88" s="91" t="str">
        <f ca="1">G87&amp;IF(G81&gt;0,OFFSET(База!$B16,0,G81)&amp;" ("&amp;$B81&amp;", "&amp;G81*База!$I$4&amp;База!$L$2&amp;")"&amp;IF(SUM(G82:G$83)&gt;0,", ",""),"")</f>
        <v xml:space="preserve">Аркебузеры (пехотное, 6Мл), Всадники (мобильное, 2Мл), Пикинеры (заградит., 4Мл), РЗО (поддержка, 8Мл), </v>
      </c>
      <c r="H88" s="91" t="str">
        <f ca="1">H87&amp;IF(H81&gt;0,OFFSET(База!$B16,0,H81)&amp;" ("&amp;$B81&amp;", "&amp;H81*База!$I$4&amp;База!$L$2&amp;")"&amp;IF(SUM(H82:H$83)&gt;0,", ",""),"")</f>
        <v xml:space="preserve">Аркебузеры (пехотное, 6Мл), Пулеметчики (заградит., 6Мл), РЗО (поддержка, 8Мл), </v>
      </c>
      <c r="I88" s="91" t="str">
        <f ca="1">I87&amp;IF(I81&gt;0,OFFSET(База!$B16,0,I81)&amp;" ("&amp;$B81&amp;", "&amp;I81*База!$I$4&amp;База!$L$2&amp;")"&amp;IF(SUM(I82:I$83)&gt;0,", ",""),"")</f>
        <v xml:space="preserve">Ватага (пехотное, 2Мл), Рыцари (мобильное, 4Мл), Копейщики (заградит., 2Мл), РЗО (поддержка, 8Мл), </v>
      </c>
      <c r="J88" s="91" t="str">
        <f ca="1">J87&amp;IF(J81&gt;0,OFFSET(База!$B16,0,J81)&amp;" ("&amp;$B81&amp;", "&amp;J81*База!$I$4&amp;База!$L$2&amp;")"&amp;IF(SUM(J82:J$83)&gt;0,", ",""),"")</f>
        <v xml:space="preserve">Аркебузеры (пехотное, 6Мл), Копейщики (заградит., 2Мл), Арбалетчики (поддержка, 4Мл), </v>
      </c>
      <c r="K88" s="91" t="str">
        <f ca="1">K87&amp;IF(K81&gt;0,OFFSET(База!$B16,0,K81)&amp;" ("&amp;$B81&amp;", "&amp;K81*База!$I$4&amp;База!$L$2&amp;")"&amp;IF(SUM(K82:K$83)&gt;0,", ",""),"")</f>
        <v>Ватага (пехотное, 2Мл), Копейщики (заградит., 2Мл), Лучники (поддержка, 2Мл)</v>
      </c>
    </row>
    <row r="89" spans="2:22" x14ac:dyDescent="0.25">
      <c r="B89" s="308"/>
      <c r="C89" s="15"/>
      <c r="D89" s="91" t="str">
        <f ca="1">D88&amp;IF(D82&gt;0,OFFSET(База!$B17,0,D82)&amp;" ("&amp;$B82&amp;", "&amp;D82*База!$I$4&amp;База!$L$2&amp;")"&amp;IF(SUM(D83:D$83)&gt;0,", ",""),"")</f>
        <v>Аркебузеры (пехотное, 6Мл), Танки (мобильное, 8Мл), Пулеметчики (заградит., 6Мл), РЗО (поддержка, 8Мл), Реактивные самолеты (авиация, 8Мл)</v>
      </c>
      <c r="E89" s="91" t="str">
        <f ca="1">E88&amp;IF(E82&gt;0,OFFSET(База!$B17,0,E82)&amp;" ("&amp;$B82&amp;", "&amp;E82*База!$I$4&amp;База!$L$2&amp;")"&amp;IF(SUM(E83:E$83)&gt;0,", ",""),"")</f>
        <v>Ватага (пехотное, 2Мл), Пикинеры (заградит., 4Мл), Арбалетчики (поддержка, 4Мл)</v>
      </c>
      <c r="F89" s="91" t="str">
        <f ca="1">F88&amp;IF(F82&gt;0,OFFSET(База!$B17,0,F82)&amp;" ("&amp;$B82&amp;", "&amp;F82*База!$I$4&amp;База!$L$2&amp;")"&amp;IF(SUM(F83:F$83)&gt;0,", ",""),"")</f>
        <v>Ватага (пехотное, 2Мл), Рыцари (мобильное, 4Мл), Пикинеры (заградит., 4Мл), Бипланы (авиация, 6Мл)</v>
      </c>
      <c r="G89" s="91" t="str">
        <f ca="1">G88&amp;IF(G82&gt;0,OFFSET(База!$B17,0,G82)&amp;" ("&amp;$B82&amp;", "&amp;G82*База!$I$4&amp;База!$L$2&amp;")"&amp;IF(SUM(G83:G$83)&gt;0,", ",""),"")</f>
        <v>Аркебузеры (пехотное, 6Мл), Всадники (мобильное, 2Мл), Пикинеры (заградит., 4Мл), РЗО (поддержка, 8Мл), Бипланы (авиация, 6Мл)</v>
      </c>
      <c r="H89" s="91" t="str">
        <f ca="1">H88&amp;IF(H82&gt;0,OFFSET(База!$B17,0,H82)&amp;" ("&amp;$B82&amp;", "&amp;H82*База!$I$4&amp;База!$L$2&amp;")"&amp;IF(SUM(H83:H$83)&gt;0,", ",""),"")</f>
        <v>Аркебузеры (пехотное, 6Мл), Пулеметчики (заградит., 6Мл), РЗО (поддержка, 8Мл), Реактивные самолеты (авиация, 8Мл)</v>
      </c>
      <c r="I89" s="91" t="str">
        <f ca="1">I88&amp;IF(I82&gt;0,OFFSET(База!$B17,0,I82)&amp;" ("&amp;$B82&amp;", "&amp;I82*База!$I$4&amp;База!$L$2&amp;")"&amp;IF(SUM(I83:I$83)&gt;0,", ",""),"")</f>
        <v>Ватага (пехотное, 2Мл), Рыцари (мобильное, 4Мл), Копейщики (заградит., 2Мл), РЗО (поддержка, 8Мл), Реактивные самолеты (авиация, 8Мл)</v>
      </c>
      <c r="J89" s="91" t="str">
        <f ca="1">J88&amp;IF(J82&gt;0,OFFSET(База!$B17,0,J82)&amp;" ("&amp;$B82&amp;", "&amp;J82*База!$I$4&amp;База!$L$2&amp;")"&amp;IF(SUM(J83:J$83)&gt;0,", ",""),"")</f>
        <v>Аркебузеры (пехотное, 6Мл), Копейщики (заградит., 2Мл), Арбалетчики (поддержка, 4Мл), Бипланы (авиация, 6Мл)</v>
      </c>
      <c r="K89" s="91" t="str">
        <f ca="1">K88&amp;IF(K82&gt;0,OFFSET(База!$B17,0,K82)&amp;" ("&amp;$B82&amp;", "&amp;K82*База!$I$4&amp;База!$L$2&amp;")"&amp;IF(SUM(K83:K$83)&gt;0,", ",""),"")</f>
        <v>Ватага (пехотное, 2Мл), Копейщики (заградит., 2Мл), Лучники (поддержка, 2Мл)</v>
      </c>
    </row>
    <row r="92" spans="2:22" x14ac:dyDescent="0.25">
      <c r="B92" s="15" t="s">
        <v>277</v>
      </c>
      <c r="D92" s="91">
        <f t="shared" ref="D92:K94" si="25">(VLOOKUP($N92,$B$1:$K$46,D$55,0)&lt;&gt;"")*1</f>
        <v>1</v>
      </c>
      <c r="E92" s="91">
        <f t="shared" si="25"/>
        <v>0</v>
      </c>
      <c r="F92" s="91">
        <f t="shared" si="25"/>
        <v>1</v>
      </c>
      <c r="G92" s="91">
        <f t="shared" si="25"/>
        <v>1</v>
      </c>
      <c r="H92" s="91">
        <f t="shared" si="25"/>
        <v>1</v>
      </c>
      <c r="I92" s="91">
        <f t="shared" si="25"/>
        <v>0</v>
      </c>
      <c r="J92" s="91">
        <f t="shared" si="25"/>
        <v>1</v>
      </c>
      <c r="K92" s="91">
        <f t="shared" si="25"/>
        <v>0</v>
      </c>
      <c r="N92" s="15" t="str">
        <f>Наука!B8</f>
        <v>Философия</v>
      </c>
    </row>
    <row r="93" spans="2:22" x14ac:dyDescent="0.25">
      <c r="B93" s="15" t="s">
        <v>278</v>
      </c>
      <c r="D93" s="91">
        <f t="shared" si="25"/>
        <v>1</v>
      </c>
      <c r="E93" s="91">
        <f t="shared" si="25"/>
        <v>0</v>
      </c>
      <c r="F93" s="91">
        <f t="shared" si="25"/>
        <v>1</v>
      </c>
      <c r="G93" s="91">
        <f t="shared" si="25"/>
        <v>1</v>
      </c>
      <c r="H93" s="91">
        <f t="shared" si="25"/>
        <v>1</v>
      </c>
      <c r="I93" s="91">
        <f t="shared" si="25"/>
        <v>1</v>
      </c>
      <c r="J93" s="91">
        <f t="shared" si="25"/>
        <v>1</v>
      </c>
      <c r="K93" s="91">
        <f t="shared" si="25"/>
        <v>0</v>
      </c>
      <c r="N93" s="15" t="str">
        <f>Наука!B21</f>
        <v>Валюта</v>
      </c>
    </row>
    <row r="94" spans="2:22" x14ac:dyDescent="0.25">
      <c r="B94" s="15" t="s">
        <v>202</v>
      </c>
      <c r="D94" s="91">
        <f t="shared" si="25"/>
        <v>1</v>
      </c>
      <c r="E94" s="91">
        <f t="shared" si="25"/>
        <v>0</v>
      </c>
      <c r="F94" s="91">
        <f t="shared" si="25"/>
        <v>1</v>
      </c>
      <c r="G94" s="91">
        <f t="shared" si="25"/>
        <v>0</v>
      </c>
      <c r="H94" s="91">
        <f t="shared" si="25"/>
        <v>0</v>
      </c>
      <c r="I94" s="91">
        <f t="shared" si="25"/>
        <v>1</v>
      </c>
      <c r="J94" s="91">
        <f t="shared" si="25"/>
        <v>1</v>
      </c>
      <c r="K94" s="91">
        <f t="shared" si="25"/>
        <v>0</v>
      </c>
      <c r="N94" s="15" t="str">
        <f>Наука!B26</f>
        <v>СМИ</v>
      </c>
    </row>
    <row r="95" spans="2:22" x14ac:dyDescent="0.25"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</row>
    <row r="97" spans="2:16" x14ac:dyDescent="0.25">
      <c r="B97" s="306" t="s">
        <v>373</v>
      </c>
      <c r="C97" s="15"/>
      <c r="D97" s="91" t="str">
        <f>D96&amp;IF(D92&gt;0,Наука!$B92&amp;IF(SUM(D93:D$95)&gt;0,", ",""),"")</f>
        <v xml:space="preserve">города, </v>
      </c>
      <c r="E97" s="91" t="str">
        <f>E96&amp;IF(E92&gt;0,Наука!$B92&amp;IF(SUM(E93:E$95)&gt;0,", ",""),"")</f>
        <v/>
      </c>
      <c r="F97" s="91" t="str">
        <f>F96&amp;IF(F92&gt;0,Наука!$B92&amp;IF(SUM(F93:F$95)&gt;0,", ",""),"")</f>
        <v xml:space="preserve">города, </v>
      </c>
      <c r="G97" s="91" t="str">
        <f>G96&amp;IF(G92&gt;0,Наука!$B92&amp;IF(SUM(G93:G$95)&gt;0,", ",""),"")</f>
        <v xml:space="preserve">города, </v>
      </c>
      <c r="H97" s="91" t="str">
        <f>H96&amp;IF(H92&gt;0,Наука!$B92&amp;IF(SUM(H93:H$95)&gt;0,", ",""),"")</f>
        <v xml:space="preserve">города, </v>
      </c>
      <c r="I97" s="91" t="str">
        <f>I96&amp;IF(I92&gt;0,Наука!$B92&amp;IF(SUM(I93:I$95)&gt;0,", ",""),"")</f>
        <v/>
      </c>
      <c r="J97" s="91" t="str">
        <f>J96&amp;IF(J92&gt;0,Наука!$B92&amp;IF(SUM(J93:J$95)&gt;0,", ",""),"")</f>
        <v xml:space="preserve">города, </v>
      </c>
      <c r="K97" s="91" t="str">
        <f>K96&amp;IF(K92&gt;0,Наука!$B92&amp;IF(SUM(K93:K$95)&gt;0,", ",""),"")</f>
        <v/>
      </c>
    </row>
    <row r="98" spans="2:16" x14ac:dyDescent="0.25">
      <c r="B98" s="307"/>
      <c r="C98" s="15"/>
      <c r="D98" s="91" t="str">
        <f>D97&amp;IF(D93&gt;0,Наука!$B93&amp;IF(SUM(D94:D$95)&gt;0,", ",""),"")</f>
        <v xml:space="preserve">города, ресурсы, монеты, </v>
      </c>
      <c r="E98" s="91" t="str">
        <f>E97&amp;IF(E93&gt;0,Наука!$B93&amp;IF(SUM(E94:E$95)&gt;0,", ",""),"")</f>
        <v/>
      </c>
      <c r="F98" s="91" t="str">
        <f>F97&amp;IF(F93&gt;0,Наука!$B93&amp;IF(SUM(F94:F$95)&gt;0,", ",""),"")</f>
        <v xml:space="preserve">города, ресурсы, монеты, </v>
      </c>
      <c r="G98" s="91" t="str">
        <f>G97&amp;IF(G93&gt;0,Наука!$B93&amp;IF(SUM(G94:G$95)&gt;0,", ",""),"")</f>
        <v>города, ресурсы, монеты</v>
      </c>
      <c r="H98" s="91" t="str">
        <f>H97&amp;IF(H93&gt;0,Наука!$B93&amp;IF(SUM(H94:H$95)&gt;0,", ",""),"")</f>
        <v>города, ресурсы, монеты</v>
      </c>
      <c r="I98" s="91" t="str">
        <f>I97&amp;IF(I93&gt;0,Наука!$B93&amp;IF(SUM(I94:I$95)&gt;0,", ",""),"")</f>
        <v xml:space="preserve">ресурсы, монеты, </v>
      </c>
      <c r="J98" s="91" t="str">
        <f>J97&amp;IF(J93&gt;0,Наука!$B93&amp;IF(SUM(J94:J$95)&gt;0,", ",""),"")</f>
        <v xml:space="preserve">города, ресурсы, монеты, </v>
      </c>
      <c r="K98" s="91" t="str">
        <f>K97&amp;IF(K93&gt;0,Наука!$B93&amp;IF(SUM(K94:K$95)&gt;0,", ",""),"")</f>
        <v/>
      </c>
    </row>
    <row r="99" spans="2:16" x14ac:dyDescent="0.25">
      <c r="B99" s="308"/>
      <c r="C99" s="15"/>
      <c r="D99" s="91" t="str">
        <f>D98&amp;IF(D94&gt;0,Наука!$B94&amp;IF(SUM(D95:D$95)&gt;0,", ",""),"")</f>
        <v>города, ресурсы, монеты, Власть</v>
      </c>
      <c r="E99" s="91" t="str">
        <f>E98&amp;IF(E94&gt;0,Наука!$B94&amp;IF(SUM(E95:E$95)&gt;0,", ",""),"")</f>
        <v/>
      </c>
      <c r="F99" s="91" t="str">
        <f>F98&amp;IF(F94&gt;0,Наука!$B94&amp;IF(SUM(F95:F$95)&gt;0,", ",""),"")</f>
        <v>города, ресурсы, монеты, Власть</v>
      </c>
      <c r="G99" s="91" t="str">
        <f>G98&amp;IF(G94&gt;0,Наука!$B94&amp;IF(SUM(G95:G$95)&gt;0,", ",""),"")</f>
        <v>города, ресурсы, монеты</v>
      </c>
      <c r="H99" s="91" t="str">
        <f>H98&amp;IF(H94&gt;0,Наука!$B94&amp;IF(SUM(H95:H$95)&gt;0,", ",""),"")</f>
        <v>города, ресурсы, монеты</v>
      </c>
      <c r="I99" s="91" t="str">
        <f>I98&amp;IF(I94&gt;0,Наука!$B94&amp;IF(SUM(I95:I$95)&gt;0,", ",""),"")</f>
        <v>ресурсы, монеты, Власть</v>
      </c>
      <c r="J99" s="91" t="str">
        <f>J98&amp;IF(J94&gt;0,Наука!$B94&amp;IF(SUM(J95:J$95)&gt;0,", ",""),"")</f>
        <v>города, ресурсы, монеты, Власть</v>
      </c>
      <c r="K99" s="91" t="str">
        <f>K98&amp;IF(K94&gt;0,Наука!$B94&amp;IF(SUM(K95:K$95)&gt;0,", ",""),"")</f>
        <v/>
      </c>
    </row>
    <row r="101" spans="2:16" x14ac:dyDescent="0.25">
      <c r="D101" s="1" t="s">
        <v>27</v>
      </c>
      <c r="E101" s="1" t="str">
        <f>D101</f>
        <v>деспотизм</v>
      </c>
      <c r="F101" s="1" t="str">
        <f t="shared" ref="F101:K101" si="26">E101</f>
        <v>деспотизм</v>
      </c>
      <c r="G101" s="1" t="str">
        <f t="shared" si="26"/>
        <v>деспотизм</v>
      </c>
      <c r="H101" s="1" t="str">
        <f t="shared" si="26"/>
        <v>деспотизм</v>
      </c>
      <c r="I101" s="1" t="str">
        <f t="shared" si="26"/>
        <v>деспотизм</v>
      </c>
      <c r="J101" s="1" t="str">
        <f t="shared" si="26"/>
        <v>деспотизм</v>
      </c>
      <c r="K101" s="1" t="str">
        <f t="shared" si="26"/>
        <v>деспотизм</v>
      </c>
    </row>
    <row r="102" spans="2:16" x14ac:dyDescent="0.25">
      <c r="B102" s="295" t="s">
        <v>376</v>
      </c>
      <c r="C102" s="15"/>
      <c r="D102" s="93" t="str">
        <f t="shared" ref="D102:K109" si="27">D101&amp;IF(VLOOKUP($N102,$B$1:$K$46,D$55,0)&lt;&gt;"",", "&amp;$P102,"")</f>
        <v>деспотизм, республика</v>
      </c>
      <c r="E102" s="93" t="str">
        <f t="shared" si="27"/>
        <v>деспотизм, республика</v>
      </c>
      <c r="F102" s="93" t="str">
        <f t="shared" si="27"/>
        <v>деспотизм, республика</v>
      </c>
      <c r="G102" s="93" t="str">
        <f t="shared" si="27"/>
        <v>деспотизм, республика</v>
      </c>
      <c r="H102" s="93" t="str">
        <f t="shared" si="27"/>
        <v>деспотизм, республика</v>
      </c>
      <c r="I102" s="93" t="str">
        <f t="shared" si="27"/>
        <v>деспотизм, республика</v>
      </c>
      <c r="J102" s="93" t="str">
        <f t="shared" si="27"/>
        <v>деспотизм, республика</v>
      </c>
      <c r="K102" s="93" t="str">
        <f t="shared" si="27"/>
        <v>деспотизм</v>
      </c>
      <c r="N102" s="15" t="str">
        <f>Наука!B11</f>
        <v>Свод законов</v>
      </c>
      <c r="P102" t="s">
        <v>28</v>
      </c>
    </row>
    <row r="103" spans="2:16" x14ac:dyDescent="0.25">
      <c r="B103" s="295"/>
      <c r="C103" s="15"/>
      <c r="D103" s="93" t="str">
        <f t="shared" si="27"/>
        <v>деспотизм, республика, античная демократия</v>
      </c>
      <c r="E103" s="93" t="str">
        <f t="shared" si="27"/>
        <v>деспотизм, республика</v>
      </c>
      <c r="F103" s="93" t="str">
        <f t="shared" si="27"/>
        <v>деспотизм, республика, античная демократия</v>
      </c>
      <c r="G103" s="93" t="str">
        <f t="shared" si="27"/>
        <v>деспотизм, республика, античная демократия</v>
      </c>
      <c r="H103" s="93" t="str">
        <f t="shared" si="27"/>
        <v>деспотизм, республика, античная демократия</v>
      </c>
      <c r="I103" s="93" t="str">
        <f t="shared" si="27"/>
        <v>деспотизм, республика</v>
      </c>
      <c r="J103" s="93" t="str">
        <f t="shared" si="27"/>
        <v>деспотизм, республика, античная демократия</v>
      </c>
      <c r="K103" s="93" t="str">
        <f t="shared" si="27"/>
        <v>деспотизм</v>
      </c>
      <c r="N103" s="15" t="str">
        <f>Наука!B8</f>
        <v>Философия</v>
      </c>
      <c r="P103" t="s">
        <v>29</v>
      </c>
    </row>
    <row r="104" spans="2:16" x14ac:dyDescent="0.25">
      <c r="B104" s="295"/>
      <c r="C104" s="15"/>
      <c r="D104" s="93" t="str">
        <f t="shared" si="27"/>
        <v>деспотизм, республика, античная демократия, монархия</v>
      </c>
      <c r="E104" s="93" t="str">
        <f t="shared" si="27"/>
        <v>деспотизм, республика</v>
      </c>
      <c r="F104" s="93" t="str">
        <f t="shared" si="27"/>
        <v>деспотизм, республика, античная демократия</v>
      </c>
      <c r="G104" s="93" t="str">
        <f t="shared" si="27"/>
        <v>деспотизм, республика, античная демократия</v>
      </c>
      <c r="H104" s="93" t="str">
        <f t="shared" si="27"/>
        <v>деспотизм, республика, античная демократия</v>
      </c>
      <c r="I104" s="93" t="str">
        <f t="shared" si="27"/>
        <v>деспотизм, республика</v>
      </c>
      <c r="J104" s="93" t="str">
        <f t="shared" si="27"/>
        <v>деспотизм, республика, античная демократия</v>
      </c>
      <c r="K104" s="93" t="str">
        <f t="shared" si="27"/>
        <v>деспотизм</v>
      </c>
      <c r="N104" s="15" t="str">
        <f>Наука!B13</f>
        <v>Монархия</v>
      </c>
      <c r="P104" t="s">
        <v>30</v>
      </c>
    </row>
    <row r="105" spans="2:16" x14ac:dyDescent="0.25">
      <c r="B105" s="295"/>
      <c r="C105" s="15"/>
      <c r="D105" s="93" t="str">
        <f t="shared" si="27"/>
        <v>деспотизм, республика, античная демократия, монархия</v>
      </c>
      <c r="E105" s="93" t="str">
        <f t="shared" si="27"/>
        <v>деспотизм, республика</v>
      </c>
      <c r="F105" s="93" t="str">
        <f t="shared" si="27"/>
        <v>деспотизм, республика, античная демократия</v>
      </c>
      <c r="G105" s="93" t="str">
        <f t="shared" si="27"/>
        <v>деспотизм, республика, античная демократия</v>
      </c>
      <c r="H105" s="93" t="str">
        <f t="shared" si="27"/>
        <v>деспотизм, республика, античная демократия</v>
      </c>
      <c r="I105" s="93" t="str">
        <f t="shared" si="27"/>
        <v>деспотизм, республика, теократия</v>
      </c>
      <c r="J105" s="93" t="str">
        <f t="shared" si="27"/>
        <v>деспотизм, республика, античная демократия, теократия</v>
      </c>
      <c r="K105" s="93" t="str">
        <f t="shared" si="27"/>
        <v>деспотизм</v>
      </c>
      <c r="N105" s="15" t="str">
        <f>Наука!B19</f>
        <v>Теология</v>
      </c>
      <c r="P105" t="s">
        <v>31</v>
      </c>
    </row>
    <row r="106" spans="2:16" x14ac:dyDescent="0.25">
      <c r="B106" s="295"/>
      <c r="C106" s="15"/>
      <c r="D106" s="93" t="str">
        <f t="shared" si="27"/>
        <v>деспотизм, республика, античная демократия, монархия</v>
      </c>
      <c r="E106" s="93" t="str">
        <f t="shared" si="27"/>
        <v>деспотизм, республика</v>
      </c>
      <c r="F106" s="93" t="str">
        <f t="shared" si="27"/>
        <v>деспотизм, республика, античная демократия</v>
      </c>
      <c r="G106" s="93" t="str">
        <f t="shared" si="27"/>
        <v>деспотизм, республика, античная демократия</v>
      </c>
      <c r="H106" s="93" t="str">
        <f t="shared" si="27"/>
        <v>деспотизм, республика, античная демократия</v>
      </c>
      <c r="I106" s="93" t="str">
        <f t="shared" si="27"/>
        <v>деспотизм, республика, теократия</v>
      </c>
      <c r="J106" s="93" t="str">
        <f t="shared" si="27"/>
        <v>деспотизм, республика, античная демократия, теократия, демократия</v>
      </c>
      <c r="K106" s="93" t="str">
        <f t="shared" si="27"/>
        <v>деспотизм</v>
      </c>
      <c r="N106" s="15" t="str">
        <f>Наука!B24</f>
        <v>Демократия</v>
      </c>
      <c r="P106" t="s">
        <v>32</v>
      </c>
    </row>
    <row r="107" spans="2:16" x14ac:dyDescent="0.25">
      <c r="B107" s="295"/>
      <c r="C107" s="15"/>
      <c r="D107" s="93" t="str">
        <f t="shared" si="27"/>
        <v>деспотизм, республика, античная демократия, монархия, федерация</v>
      </c>
      <c r="E107" s="93" t="str">
        <f t="shared" si="27"/>
        <v>деспотизм, республика</v>
      </c>
      <c r="F107" s="93" t="str">
        <f t="shared" si="27"/>
        <v>деспотизм, республика, античная демократия, федерация</v>
      </c>
      <c r="G107" s="93" t="str">
        <f t="shared" si="27"/>
        <v>деспотизм, республика, античная демократия</v>
      </c>
      <c r="H107" s="93" t="str">
        <f t="shared" si="27"/>
        <v>деспотизм, республика, античная демократия</v>
      </c>
      <c r="I107" s="93" t="str">
        <f t="shared" si="27"/>
        <v>деспотизм, республика, теократия, федерация</v>
      </c>
      <c r="J107" s="93" t="str">
        <f t="shared" si="27"/>
        <v>деспотизм, республика, античная демократия, теократия, демократия, федерация</v>
      </c>
      <c r="K107" s="93" t="str">
        <f t="shared" si="27"/>
        <v>деспотизм</v>
      </c>
      <c r="N107" s="15" t="str">
        <f>Наука!B26</f>
        <v>СМИ</v>
      </c>
      <c r="P107" t="s">
        <v>33</v>
      </c>
    </row>
    <row r="108" spans="2:16" x14ac:dyDescent="0.25">
      <c r="B108" s="295"/>
      <c r="C108" s="15"/>
      <c r="D108" s="93" t="str">
        <f t="shared" si="27"/>
        <v>деспотизм, республика, античная демократия, монархия, федерация, тоталитаризм</v>
      </c>
      <c r="E108" s="93" t="str">
        <f t="shared" si="27"/>
        <v>деспотизм, республика</v>
      </c>
      <c r="F108" s="93" t="str">
        <f t="shared" si="27"/>
        <v>деспотизм, республика, античная демократия, федерация</v>
      </c>
      <c r="G108" s="93" t="str">
        <f t="shared" si="27"/>
        <v>деспотизм, республика, античная демократия, тоталитаризм</v>
      </c>
      <c r="H108" s="93" t="str">
        <f t="shared" si="27"/>
        <v>деспотизм, республика, античная демократия, тоталитаризм</v>
      </c>
      <c r="I108" s="93" t="str">
        <f t="shared" si="27"/>
        <v>деспотизм, республика, теократия, федерация, тоталитаризм</v>
      </c>
      <c r="J108" s="93" t="str">
        <f t="shared" si="27"/>
        <v>деспотизм, республика, античная демократия, теократия, демократия, федерация</v>
      </c>
      <c r="K108" s="93" t="str">
        <f t="shared" si="27"/>
        <v>деспотизм</v>
      </c>
      <c r="N108" s="15" t="str">
        <f>Наука!B38</f>
        <v>Пропаганда</v>
      </c>
      <c r="P108" t="s">
        <v>34</v>
      </c>
    </row>
    <row r="109" spans="2:16" x14ac:dyDescent="0.25">
      <c r="B109" s="295"/>
      <c r="C109" s="15"/>
      <c r="D109" s="93" t="str">
        <f t="shared" si="27"/>
        <v>деспотизм, республика, античная демократия, монархия, федерация, тоталитаризм</v>
      </c>
      <c r="E109" s="93" t="str">
        <f t="shared" si="27"/>
        <v>деспотизм, республика</v>
      </c>
      <c r="F109" s="93" t="str">
        <f t="shared" si="27"/>
        <v>деспотизм, республика, античная демократия, федерация</v>
      </c>
      <c r="G109" s="93" t="str">
        <f t="shared" si="27"/>
        <v>деспотизм, республика, античная демократия, тоталитаризм</v>
      </c>
      <c r="H109" s="93" t="str">
        <f t="shared" si="27"/>
        <v>деспотизм, республика, античная демократия, тоталитаризм</v>
      </c>
      <c r="I109" s="93" t="str">
        <f t="shared" si="27"/>
        <v>деспотизм, республика, теократия, федерация, тоталитаризм</v>
      </c>
      <c r="J109" s="93" t="str">
        <f t="shared" si="27"/>
        <v>деспотизм, республика, античная демократия, теократия, демократия, федерация</v>
      </c>
      <c r="K109" s="93" t="str">
        <f t="shared" si="27"/>
        <v>деспотизм</v>
      </c>
      <c r="N109" s="15" t="str">
        <f>Наука!B32</f>
        <v>Коммунизм</v>
      </c>
      <c r="P109" t="s">
        <v>35</v>
      </c>
    </row>
    <row r="111" spans="2:16" x14ac:dyDescent="0.25">
      <c r="B111" s="47" t="s">
        <v>391</v>
      </c>
      <c r="C111" s="15"/>
      <c r="D111" s="136" t="str">
        <f ca="1">N45</f>
        <v xml:space="preserve">[br]Технологии древности (9): Верховая езда; Гончарное дело; Письменность; Охота; Навигация; Обработка железа; Философия; Каменная кладка; Свод законов; [br]Технологии средневековья (8): Строительство; Монархия; Рыцарство; Инженерное дело; Математика; Астрономия; Стратегия; Валюта; [br]Технологии Нового времени (7): Химия; Железные дороги; Литье металла; СМИ; Паровая тяга; Банки; Биология; [br]Технологии Современности (6): Ядерная теория; Ракеты; ДВС; Логистика; Пропаганда; Реактивные двигатели; [br]Технологии будущего (3): Технология будущего 1; Технология будущего 2; Технология будущего 3; </v>
      </c>
      <c r="E111" s="136" t="str">
        <f t="shared" ref="E111:K111" ca="1" si="28">O45</f>
        <v xml:space="preserve">[br]Технологии древности (5): Гончарное дело; Письменность; Охота; Обработка железа; Свод законов; [br]Технологии средневековья (3): Строительство; Математика; Стратегия; </v>
      </c>
      <c r="F111" s="136" t="str">
        <f t="shared" ca="1" si="28"/>
        <v xml:space="preserve">[br]Технологии древности (6): Гончарное дело; Навигация; Философия; Каменная кладка; Деньги; Свод законов; [br]Технологии средневековья (5): Строительство; Рыцарство; Печатный станок; Стратегия; Валюта; [br]Технологии Нового времени (2): СМИ; Полет; </v>
      </c>
      <c r="G111" s="136" t="str">
        <f t="shared" ca="1" si="28"/>
        <v xml:space="preserve">[br]Технологии древности (7): Верховая езда; Гончарное дело; Охота; Навигация; Философия; Каменная кладка; Свод законов; [br]Технологии средневековья (6): Строительство; Инженерное дело; Математика; Астрономия; Стратегия; Валюта; [br]Технологии Нового времени (5): Химия; Паровая тяга; Банки; Биология; Полет; [br]Технологии Современности (4): Ядерная теория; Ракеты; Логистика; Пропаганда; [br]Технологии будущего (2): Технология будущего 1; Технология будущего 2; </v>
      </c>
      <c r="H111" s="136" t="str">
        <f t="shared" ca="1" si="28"/>
        <v xml:space="preserve">[br]Технологии древности (8): Гончарное дело; Письменность; Охота; Навигация; Философия; Каменная кладка; Деньги; Свод законов; [br]Технологии средневековья (7): Строительство; Печатный станок; Инженерное дело; Математика; Астрономия; Стратегия; Валюта; [br]Технологии Нового времени (6): Химия; Железные дороги; Литье металла; Паровая тяга; Банки; Биология; [br]Технологии Современности (5): Ядерная теория; Ракеты; Логистика; Пропаганда; Реактивные двигатели; [br]Технологии будущего (2): Технология будущего 1; Технология будущего 2; </v>
      </c>
      <c r="I111" s="136" t="str">
        <f t="shared" ca="1" si="28"/>
        <v xml:space="preserve">[br]Технологии древности (8): Верховая езда; Гончарное дело; Письменность; Охота; Навигация; Каменная кладка; Деньги; Свод законов; [br]Технологии средневековья (6): Рыцарство; Инженерное дело; Математика; Астрономия; Теология; Валюта; [br]Технологии Нового времени (5): Литье металла; СМИ; Паровая тяга; Биология; Полет; [br]Технологии Современности (4): Ядерная теория; Ракеты; Пропаганда; Реактивные двигатели; [br]Технологии будущего (2): Технология будущего 1; Технология будущего 2; </v>
      </c>
      <c r="J111" s="136" t="str">
        <f t="shared" ca="1" si="28"/>
        <v xml:space="preserve">[br]Технологии древности (9): Гончарное дело; Письменность; Охота; Навигация; Обработка железа; Философия; Каменная кладка; Деньги; Свод законов; [br]Технологии средневековья (6): Строительство; Печатный станок; Инженерное дело; Математика; Теология; Валюта; [br]Технологии Нового времени (4): Химия; Демократия; СМИ; Полет; </v>
      </c>
      <c r="K111" s="136" t="str">
        <f t="shared" ca="1" si="28"/>
        <v xml:space="preserve">[br]Технологии древности (1): Охота; </v>
      </c>
      <c r="N111" s="86"/>
    </row>
    <row r="112" spans="2:16" x14ac:dyDescent="0.25">
      <c r="N112" s="86"/>
    </row>
    <row r="113" spans="1:16" x14ac:dyDescent="0.25">
      <c r="B113" s="210" t="str">
        <f>"Производство "&amp;База!L2</f>
        <v>Производство Мл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208"/>
      <c r="N113" s="86"/>
    </row>
    <row r="114" spans="1:16" x14ac:dyDescent="0.25">
      <c r="A114" s="86"/>
      <c r="B114" s="39" t="s">
        <v>283</v>
      </c>
      <c r="C114" s="86"/>
      <c r="D114" s="136">
        <f t="shared" ref="D114:K121" si="29">(VLOOKUP($N114,$B$1:$K$46,D$55,0)&lt;&gt;"")+$P114</f>
        <v>2</v>
      </c>
      <c r="E114" s="136">
        <f t="shared" si="29"/>
        <v>1</v>
      </c>
      <c r="F114" s="136">
        <f t="shared" si="29"/>
        <v>1</v>
      </c>
      <c r="G114" s="136">
        <f t="shared" si="29"/>
        <v>1</v>
      </c>
      <c r="H114" s="136">
        <f t="shared" si="29"/>
        <v>2</v>
      </c>
      <c r="I114" s="136">
        <f t="shared" si="29"/>
        <v>1</v>
      </c>
      <c r="J114" s="136">
        <f t="shared" si="29"/>
        <v>1</v>
      </c>
      <c r="K114" s="136">
        <f t="shared" si="29"/>
        <v>1</v>
      </c>
      <c r="L114" s="208"/>
      <c r="N114" s="41" t="str">
        <f>Наука!B23</f>
        <v>Железные дороги</v>
      </c>
      <c r="P114" s="136">
        <v>1</v>
      </c>
    </row>
    <row r="115" spans="1:16" x14ac:dyDescent="0.25">
      <c r="A115" s="86"/>
      <c r="B115" s="39" t="s">
        <v>454</v>
      </c>
      <c r="C115" s="86"/>
      <c r="D115" s="136">
        <f t="shared" si="29"/>
        <v>0</v>
      </c>
      <c r="E115" s="136">
        <f t="shared" si="29"/>
        <v>0</v>
      </c>
      <c r="F115" s="136">
        <f t="shared" si="29"/>
        <v>0</v>
      </c>
      <c r="G115" s="136">
        <f t="shared" si="29"/>
        <v>0</v>
      </c>
      <c r="H115" s="136">
        <f t="shared" si="29"/>
        <v>0</v>
      </c>
      <c r="I115" s="136">
        <f t="shared" si="29"/>
        <v>0</v>
      </c>
      <c r="J115" s="136">
        <f t="shared" si="29"/>
        <v>0</v>
      </c>
      <c r="K115" s="136">
        <f t="shared" si="29"/>
        <v>0</v>
      </c>
      <c r="L115" s="208"/>
      <c r="N115" s="41" t="str">
        <f>B45</f>
        <v>Технология будущего 4</v>
      </c>
      <c r="P115" s="136">
        <v>0</v>
      </c>
    </row>
    <row r="116" spans="1:16" x14ac:dyDescent="0.25">
      <c r="A116" s="86"/>
      <c r="B116" s="39" t="s">
        <v>284</v>
      </c>
      <c r="C116" s="86"/>
      <c r="D116" s="136">
        <f t="shared" si="29"/>
        <v>2</v>
      </c>
      <c r="E116" s="136">
        <f t="shared" si="29"/>
        <v>2</v>
      </c>
      <c r="F116" s="136">
        <f t="shared" si="29"/>
        <v>2</v>
      </c>
      <c r="G116" s="136">
        <f t="shared" si="29"/>
        <v>2</v>
      </c>
      <c r="H116" s="136">
        <f t="shared" si="29"/>
        <v>2</v>
      </c>
      <c r="I116" s="136">
        <f t="shared" si="29"/>
        <v>1</v>
      </c>
      <c r="J116" s="136">
        <f t="shared" si="29"/>
        <v>2</v>
      </c>
      <c r="K116" s="136">
        <f t="shared" si="29"/>
        <v>1</v>
      </c>
      <c r="L116" s="208"/>
      <c r="N116" s="41" t="str">
        <f>Наука!B12</f>
        <v>Строительство</v>
      </c>
      <c r="P116" s="136">
        <v>1</v>
      </c>
    </row>
    <row r="117" spans="1:16" x14ac:dyDescent="0.25">
      <c r="A117" s="86"/>
      <c r="B117" s="39" t="s">
        <v>285</v>
      </c>
      <c r="C117" s="86"/>
      <c r="D117" s="136">
        <f t="shared" si="29"/>
        <v>1</v>
      </c>
      <c r="E117" s="136">
        <f t="shared" si="29"/>
        <v>1</v>
      </c>
      <c r="F117" s="136">
        <f t="shared" si="29"/>
        <v>1</v>
      </c>
      <c r="G117" s="136">
        <f t="shared" si="29"/>
        <v>1</v>
      </c>
      <c r="H117" s="136">
        <f t="shared" si="29"/>
        <v>1</v>
      </c>
      <c r="I117" s="136">
        <f t="shared" si="29"/>
        <v>1</v>
      </c>
      <c r="J117" s="136">
        <f t="shared" si="29"/>
        <v>1</v>
      </c>
      <c r="K117" s="136">
        <f t="shared" si="29"/>
        <v>1</v>
      </c>
      <c r="L117" s="208"/>
      <c r="N117" s="41" t="str">
        <f>N115</f>
        <v>Технология будущего 4</v>
      </c>
      <c r="P117" s="136">
        <v>1</v>
      </c>
    </row>
    <row r="118" spans="1:16" x14ac:dyDescent="0.25">
      <c r="A118" s="86"/>
      <c r="B118" s="39" t="s">
        <v>286</v>
      </c>
      <c r="C118" s="86"/>
      <c r="D118" s="136">
        <f t="shared" si="29"/>
        <v>0</v>
      </c>
      <c r="E118" s="136">
        <f t="shared" si="29"/>
        <v>0</v>
      </c>
      <c r="F118" s="136">
        <f t="shared" si="29"/>
        <v>0</v>
      </c>
      <c r="G118" s="136">
        <f t="shared" si="29"/>
        <v>0</v>
      </c>
      <c r="H118" s="136">
        <f t="shared" si="29"/>
        <v>0</v>
      </c>
      <c r="I118" s="136">
        <f t="shared" si="29"/>
        <v>0</v>
      </c>
      <c r="J118" s="136">
        <f t="shared" si="29"/>
        <v>0</v>
      </c>
      <c r="K118" s="136">
        <f t="shared" si="29"/>
        <v>0</v>
      </c>
      <c r="L118" s="208"/>
      <c r="N118" s="41" t="str">
        <f>N117</f>
        <v>Технология будущего 4</v>
      </c>
      <c r="P118" s="136">
        <v>0</v>
      </c>
    </row>
    <row r="119" spans="1:16" x14ac:dyDescent="0.25">
      <c r="A119" s="86"/>
      <c r="B119" s="39" t="s">
        <v>288</v>
      </c>
      <c r="C119" s="86"/>
      <c r="D119" s="136">
        <f t="shared" si="29"/>
        <v>0</v>
      </c>
      <c r="E119" s="136">
        <f t="shared" si="29"/>
        <v>0</v>
      </c>
      <c r="F119" s="136">
        <f t="shared" si="29"/>
        <v>0</v>
      </c>
      <c r="G119" s="136">
        <f t="shared" si="29"/>
        <v>0</v>
      </c>
      <c r="H119" s="136">
        <f t="shared" si="29"/>
        <v>0</v>
      </c>
      <c r="I119" s="136">
        <f t="shared" si="29"/>
        <v>0</v>
      </c>
      <c r="J119" s="136">
        <f t="shared" si="29"/>
        <v>0</v>
      </c>
      <c r="K119" s="136">
        <f t="shared" si="29"/>
        <v>0</v>
      </c>
      <c r="L119" s="208"/>
      <c r="N119" s="41" t="str">
        <f t="shared" ref="N119:N121" si="30">N118</f>
        <v>Технология будущего 4</v>
      </c>
      <c r="P119" s="136">
        <v>0</v>
      </c>
    </row>
    <row r="120" spans="1:16" x14ac:dyDescent="0.25">
      <c r="A120" s="86"/>
      <c r="B120" s="39" t="s">
        <v>287</v>
      </c>
      <c r="C120" s="86"/>
      <c r="D120" s="136">
        <f t="shared" si="29"/>
        <v>0</v>
      </c>
      <c r="E120" s="136">
        <f t="shared" si="29"/>
        <v>0</v>
      </c>
      <c r="F120" s="136">
        <f t="shared" si="29"/>
        <v>0</v>
      </c>
      <c r="G120" s="136">
        <f t="shared" si="29"/>
        <v>0</v>
      </c>
      <c r="H120" s="136">
        <f t="shared" si="29"/>
        <v>0</v>
      </c>
      <c r="I120" s="136">
        <f t="shared" si="29"/>
        <v>0</v>
      </c>
      <c r="J120" s="136">
        <f t="shared" si="29"/>
        <v>0</v>
      </c>
      <c r="K120" s="136">
        <f t="shared" si="29"/>
        <v>0</v>
      </c>
      <c r="L120" s="208"/>
      <c r="N120" s="41" t="str">
        <f t="shared" si="30"/>
        <v>Технология будущего 4</v>
      </c>
      <c r="P120" s="136">
        <v>0</v>
      </c>
    </row>
    <row r="121" spans="1:16" x14ac:dyDescent="0.25">
      <c r="A121" s="86"/>
      <c r="B121" s="39" t="s">
        <v>289</v>
      </c>
      <c r="C121" s="86"/>
      <c r="D121" s="136">
        <f t="shared" si="29"/>
        <v>0</v>
      </c>
      <c r="E121" s="136">
        <f t="shared" si="29"/>
        <v>0</v>
      </c>
      <c r="F121" s="136">
        <f t="shared" si="29"/>
        <v>0</v>
      </c>
      <c r="G121" s="136">
        <f t="shared" si="29"/>
        <v>0</v>
      </c>
      <c r="H121" s="136">
        <f t="shared" si="29"/>
        <v>0</v>
      </c>
      <c r="I121" s="136">
        <f t="shared" si="29"/>
        <v>0</v>
      </c>
      <c r="J121" s="136">
        <f t="shared" si="29"/>
        <v>0</v>
      </c>
      <c r="K121" s="136">
        <f t="shared" si="29"/>
        <v>0</v>
      </c>
      <c r="L121" s="208"/>
      <c r="N121" s="41" t="str">
        <f t="shared" si="30"/>
        <v>Технология будущего 4</v>
      </c>
      <c r="P121" s="136">
        <v>0</v>
      </c>
    </row>
    <row r="122" spans="1:16" x14ac:dyDescent="0.25">
      <c r="B122" s="86"/>
      <c r="C122" s="86"/>
      <c r="D122" s="86"/>
      <c r="E122" s="86"/>
      <c r="F122" s="86"/>
      <c r="H122" s="86"/>
      <c r="I122" s="86"/>
      <c r="J122" s="86"/>
      <c r="K122" s="86"/>
      <c r="L122" s="208"/>
      <c r="N122" s="86"/>
    </row>
    <row r="123" spans="1:16" x14ac:dyDescent="0.25">
      <c r="A123" s="86"/>
      <c r="B123" s="210" t="str">
        <f>"Производство "&amp;База!L3</f>
        <v>Производство Мн</v>
      </c>
      <c r="C123" s="86"/>
      <c r="D123" s="86"/>
      <c r="E123" s="86"/>
      <c r="F123" s="86"/>
      <c r="G123" s="86"/>
      <c r="H123" s="86"/>
      <c r="I123" s="86"/>
      <c r="J123" s="86"/>
      <c r="K123" s="86"/>
      <c r="L123" s="208"/>
      <c r="N123" s="86"/>
    </row>
    <row r="124" spans="1:16" x14ac:dyDescent="0.25">
      <c r="B124" s="39" t="str">
        <f>B114</f>
        <v>холмы</v>
      </c>
      <c r="C124" s="86"/>
      <c r="D124" s="136">
        <f t="shared" ref="D124:K132" si="31">(VLOOKUP($N124,$B$1:$K$46,D$55,0)&lt;&gt;"")+$P124+D$135</f>
        <v>0</v>
      </c>
      <c r="E124" s="136">
        <f t="shared" si="31"/>
        <v>0</v>
      </c>
      <c r="F124" s="136">
        <f t="shared" si="31"/>
        <v>0</v>
      </c>
      <c r="G124" s="136">
        <f t="shared" si="31"/>
        <v>0</v>
      </c>
      <c r="H124" s="136">
        <f t="shared" si="31"/>
        <v>0</v>
      </c>
      <c r="I124" s="136">
        <f t="shared" si="31"/>
        <v>0</v>
      </c>
      <c r="J124" s="136">
        <f t="shared" si="31"/>
        <v>1</v>
      </c>
      <c r="K124" s="136">
        <f t="shared" si="31"/>
        <v>0</v>
      </c>
      <c r="L124" s="208"/>
      <c r="N124" s="41"/>
      <c r="P124" s="136">
        <v>0</v>
      </c>
    </row>
    <row r="125" spans="1:16" x14ac:dyDescent="0.25">
      <c r="B125" s="39" t="str">
        <f t="shared" ref="B125:B155" si="32">B115</f>
        <v>равнины и луга</v>
      </c>
      <c r="C125" s="86"/>
      <c r="D125" s="136">
        <f t="shared" si="31"/>
        <v>0</v>
      </c>
      <c r="E125" s="136">
        <f t="shared" si="31"/>
        <v>0</v>
      </c>
      <c r="F125" s="136">
        <f t="shared" si="31"/>
        <v>0</v>
      </c>
      <c r="G125" s="136">
        <f t="shared" si="31"/>
        <v>0</v>
      </c>
      <c r="H125" s="136">
        <f t="shared" si="31"/>
        <v>0</v>
      </c>
      <c r="I125" s="136">
        <f t="shared" si="31"/>
        <v>0</v>
      </c>
      <c r="J125" s="136">
        <f t="shared" si="31"/>
        <v>1</v>
      </c>
      <c r="K125" s="136">
        <f t="shared" si="31"/>
        <v>0</v>
      </c>
      <c r="L125" s="208"/>
      <c r="N125" s="41" t="str">
        <f>N142</f>
        <v>Технология будущего 4</v>
      </c>
      <c r="P125" s="136">
        <v>0</v>
      </c>
    </row>
    <row r="126" spans="1:16" x14ac:dyDescent="0.25">
      <c r="B126" s="39" t="str">
        <f t="shared" si="32"/>
        <v>лес</v>
      </c>
      <c r="C126" s="86"/>
      <c r="D126" s="136">
        <f t="shared" si="31"/>
        <v>0</v>
      </c>
      <c r="E126" s="136">
        <f t="shared" si="31"/>
        <v>0</v>
      </c>
      <c r="F126" s="136">
        <f t="shared" si="31"/>
        <v>0</v>
      </c>
      <c r="G126" s="136">
        <f t="shared" si="31"/>
        <v>0</v>
      </c>
      <c r="H126" s="136">
        <f t="shared" si="31"/>
        <v>0</v>
      </c>
      <c r="I126" s="136">
        <f t="shared" si="31"/>
        <v>0</v>
      </c>
      <c r="J126" s="136">
        <f t="shared" si="31"/>
        <v>1</v>
      </c>
      <c r="K126" s="136">
        <f t="shared" si="31"/>
        <v>0</v>
      </c>
      <c r="L126" s="208"/>
      <c r="N126" s="41" t="str">
        <f>N125</f>
        <v>Технология будущего 4</v>
      </c>
      <c r="P126" s="136">
        <v>0</v>
      </c>
    </row>
    <row r="127" spans="1:16" x14ac:dyDescent="0.25">
      <c r="B127" s="39" t="str">
        <f t="shared" si="32"/>
        <v>джунгли</v>
      </c>
      <c r="C127" s="86"/>
      <c r="D127" s="136">
        <f t="shared" si="31"/>
        <v>0</v>
      </c>
      <c r="E127" s="136">
        <f t="shared" si="31"/>
        <v>0</v>
      </c>
      <c r="F127" s="136">
        <f t="shared" si="31"/>
        <v>0</v>
      </c>
      <c r="G127" s="136">
        <f t="shared" si="31"/>
        <v>0</v>
      </c>
      <c r="H127" s="136">
        <f t="shared" si="31"/>
        <v>0</v>
      </c>
      <c r="I127" s="136">
        <f t="shared" si="31"/>
        <v>0</v>
      </c>
      <c r="J127" s="136">
        <f t="shared" si="31"/>
        <v>1</v>
      </c>
      <c r="K127" s="136">
        <f t="shared" si="31"/>
        <v>0</v>
      </c>
      <c r="L127" s="208"/>
      <c r="N127" s="41" t="str">
        <f>N126</f>
        <v>Технология будущего 4</v>
      </c>
      <c r="P127" s="136">
        <v>0</v>
      </c>
    </row>
    <row r="128" spans="1:16" x14ac:dyDescent="0.25">
      <c r="B128" s="39" t="str">
        <f t="shared" si="32"/>
        <v>пустыни</v>
      </c>
      <c r="C128" s="86"/>
      <c r="D128" s="136">
        <f t="shared" si="31"/>
        <v>0</v>
      </c>
      <c r="E128" s="136">
        <f t="shared" si="31"/>
        <v>0</v>
      </c>
      <c r="F128" s="136">
        <f t="shared" si="31"/>
        <v>0</v>
      </c>
      <c r="G128" s="136">
        <f t="shared" si="31"/>
        <v>0</v>
      </c>
      <c r="H128" s="136">
        <f t="shared" si="31"/>
        <v>0</v>
      </c>
      <c r="I128" s="136">
        <f t="shared" si="31"/>
        <v>0</v>
      </c>
      <c r="J128" s="136">
        <f t="shared" si="31"/>
        <v>1</v>
      </c>
      <c r="K128" s="136">
        <f t="shared" si="31"/>
        <v>0</v>
      </c>
      <c r="L128" s="208"/>
      <c r="N128" s="41" t="str">
        <f>N127</f>
        <v>Технология будущего 4</v>
      </c>
      <c r="P128" s="136">
        <v>0</v>
      </c>
    </row>
    <row r="129" spans="2:16" x14ac:dyDescent="0.25">
      <c r="B129" s="39" t="str">
        <f t="shared" si="32"/>
        <v>арктика</v>
      </c>
      <c r="C129" s="86"/>
      <c r="D129" s="136">
        <f t="shared" si="31"/>
        <v>0</v>
      </c>
      <c r="E129" s="136">
        <f t="shared" si="31"/>
        <v>0</v>
      </c>
      <c r="F129" s="136">
        <f t="shared" si="31"/>
        <v>0</v>
      </c>
      <c r="G129" s="136">
        <f t="shared" si="31"/>
        <v>0</v>
      </c>
      <c r="H129" s="136">
        <f t="shared" si="31"/>
        <v>0</v>
      </c>
      <c r="I129" s="136">
        <f t="shared" si="31"/>
        <v>0</v>
      </c>
      <c r="J129" s="136">
        <f t="shared" si="31"/>
        <v>1</v>
      </c>
      <c r="K129" s="136">
        <f t="shared" si="31"/>
        <v>0</v>
      </c>
      <c r="L129" s="208"/>
      <c r="N129" s="41" t="str">
        <f>N128</f>
        <v>Технология будущего 4</v>
      </c>
      <c r="P129" s="136">
        <v>0</v>
      </c>
    </row>
    <row r="130" spans="2:16" x14ac:dyDescent="0.25">
      <c r="B130" s="39" t="str">
        <f t="shared" si="32"/>
        <v>моря и океаны</v>
      </c>
      <c r="C130" s="86"/>
      <c r="D130" s="136">
        <f t="shared" si="31"/>
        <v>2</v>
      </c>
      <c r="E130" s="136">
        <f t="shared" si="31"/>
        <v>1</v>
      </c>
      <c r="F130" s="136">
        <f t="shared" si="31"/>
        <v>1</v>
      </c>
      <c r="G130" s="136">
        <f t="shared" si="31"/>
        <v>2</v>
      </c>
      <c r="H130" s="136">
        <f t="shared" si="31"/>
        <v>2</v>
      </c>
      <c r="I130" s="136">
        <f t="shared" si="31"/>
        <v>2</v>
      </c>
      <c r="J130" s="136">
        <f t="shared" si="31"/>
        <v>2</v>
      </c>
      <c r="K130" s="136">
        <f t="shared" si="31"/>
        <v>1</v>
      </c>
      <c r="L130" s="208"/>
      <c r="N130" s="41" t="str">
        <f>Наука!B18</f>
        <v>Астрономия</v>
      </c>
      <c r="P130" s="136">
        <v>1</v>
      </c>
    </row>
    <row r="131" spans="2:16" x14ac:dyDescent="0.25">
      <c r="B131" s="39" t="str">
        <f t="shared" si="32"/>
        <v>горы</v>
      </c>
      <c r="C131" s="86"/>
      <c r="D131" s="136">
        <f t="shared" si="31"/>
        <v>1</v>
      </c>
      <c r="E131" s="136">
        <f t="shared" si="31"/>
        <v>1</v>
      </c>
      <c r="F131" s="136">
        <f t="shared" si="31"/>
        <v>0</v>
      </c>
      <c r="G131" s="136">
        <f t="shared" si="31"/>
        <v>1</v>
      </c>
      <c r="H131" s="136">
        <f t="shared" si="31"/>
        <v>1</v>
      </c>
      <c r="I131" s="136">
        <f t="shared" si="31"/>
        <v>1</v>
      </c>
      <c r="J131" s="136">
        <f t="shared" si="31"/>
        <v>2</v>
      </c>
      <c r="K131" s="136">
        <f t="shared" si="31"/>
        <v>0</v>
      </c>
      <c r="L131" s="208"/>
      <c r="N131" s="41" t="str">
        <f>N132</f>
        <v>Математика</v>
      </c>
      <c r="P131" s="136">
        <v>0</v>
      </c>
    </row>
    <row r="132" spans="2:16" s="246" customFormat="1" x14ac:dyDescent="0.25">
      <c r="B132" s="39" t="s">
        <v>552</v>
      </c>
      <c r="C132" s="86"/>
      <c r="D132" s="245">
        <f t="shared" si="31"/>
        <v>1</v>
      </c>
      <c r="E132" s="245">
        <f t="shared" si="31"/>
        <v>1</v>
      </c>
      <c r="F132" s="245">
        <f t="shared" si="31"/>
        <v>0</v>
      </c>
      <c r="G132" s="245">
        <f t="shared" si="31"/>
        <v>1</v>
      </c>
      <c r="H132" s="245">
        <f t="shared" si="31"/>
        <v>1</v>
      </c>
      <c r="I132" s="245">
        <f t="shared" si="31"/>
        <v>1</v>
      </c>
      <c r="J132" s="245">
        <f t="shared" si="31"/>
        <v>2</v>
      </c>
      <c r="K132" s="218">
        <f t="shared" si="31"/>
        <v>0</v>
      </c>
      <c r="L132" s="208"/>
      <c r="N132" s="41" t="str">
        <f>Наука!B17</f>
        <v>Математика</v>
      </c>
      <c r="P132" s="218">
        <v>0</v>
      </c>
    </row>
    <row r="133" spans="2:16" s="248" customFormat="1" x14ac:dyDescent="0.25">
      <c r="B133" s="39" t="s">
        <v>478</v>
      </c>
      <c r="C133" s="86"/>
      <c r="D133" s="218"/>
      <c r="E133" s="218"/>
      <c r="F133" s="218"/>
      <c r="G133" s="218"/>
      <c r="H133" s="218"/>
      <c r="I133" s="218"/>
      <c r="J133" s="218"/>
      <c r="K133" s="218"/>
      <c r="L133" s="208"/>
      <c r="N133" s="219" t="str">
        <f>B6</f>
        <v>Навигация</v>
      </c>
      <c r="P133" s="218"/>
    </row>
    <row r="134" spans="2:16" s="248" customFormat="1" x14ac:dyDescent="0.25">
      <c r="B134" s="39" t="s">
        <v>477</v>
      </c>
      <c r="C134" s="86"/>
      <c r="D134" s="218"/>
      <c r="E134" s="218"/>
      <c r="F134" s="218"/>
      <c r="G134" s="218"/>
      <c r="H134" s="218"/>
      <c r="I134" s="218"/>
      <c r="J134" s="218"/>
      <c r="K134" s="218"/>
      <c r="L134" s="208"/>
      <c r="N134" s="41" t="str">
        <f>B18</f>
        <v>Астрономия</v>
      </c>
      <c r="P134" s="218"/>
    </row>
    <row r="135" spans="2:16" s="137" customFormat="1" x14ac:dyDescent="0.25">
      <c r="B135" s="39" t="s">
        <v>398</v>
      </c>
      <c r="C135" s="86"/>
      <c r="D135" s="218">
        <f>VLOOKUP(VLOOKUP(D1,Нации!$B3:$E10,4,0),База!$B30:$P38,15,0)</f>
        <v>0</v>
      </c>
      <c r="E135" s="218">
        <f>VLOOKUP(VLOOKUP(E1,Нации!$B3:$E10,4,0),База!$B30:$P38,15,0)</f>
        <v>0</v>
      </c>
      <c r="F135" s="218">
        <f>VLOOKUP(VLOOKUP(F1,Нации!$B3:$E10,4,0),База!$B30:$P38,15,0)</f>
        <v>0</v>
      </c>
      <c r="G135" s="218">
        <f>VLOOKUP(VLOOKUP(G1,Нации!$B3:$E10,4,0),База!$B30:$P38,15,0)</f>
        <v>0</v>
      </c>
      <c r="H135" s="218">
        <f>VLOOKUP(VLOOKUP(H1,Нации!$B3:$E10,4,0),База!$B30:$P38,15,0)</f>
        <v>0</v>
      </c>
      <c r="I135" s="218">
        <f>VLOOKUP(VLOOKUP(I1,Нации!$B3:$E10,4,0),База!$B30:$P38,15,0)</f>
        <v>0</v>
      </c>
      <c r="J135" s="218">
        <f>VLOOKUP(VLOOKUP(J1,Нации!$B3:$E10,4,0),База!$B30:$P38,15,0)</f>
        <v>1</v>
      </c>
      <c r="K135" s="218">
        <f>VLOOKUP(VLOOKUP(K1,Нации!$B3:$E10,4,0),База!$B30:$P38,15,0)</f>
        <v>0</v>
      </c>
      <c r="L135" s="208"/>
      <c r="N135" s="219"/>
      <c r="P135" s="218"/>
    </row>
    <row r="136" spans="2:16" x14ac:dyDescent="0.25">
      <c r="B136" s="39"/>
      <c r="N136" s="86"/>
    </row>
    <row r="137" spans="2:16" x14ac:dyDescent="0.25">
      <c r="B137" s="210" t="str">
        <f>"Производство "&amp;База!L4</f>
        <v>Производство ОН</v>
      </c>
      <c r="N137" s="86"/>
    </row>
    <row r="138" spans="2:16" x14ac:dyDescent="0.25">
      <c r="B138" s="39" t="str">
        <f t="shared" ref="B138:B145" si="33">B124</f>
        <v>холмы</v>
      </c>
      <c r="D138" s="136">
        <f t="shared" ref="D138:K145" si="34">(VLOOKUP($N138,$B$1:$K$46,D$55,0)&lt;&gt;"")+$P138</f>
        <v>0</v>
      </c>
      <c r="E138" s="136">
        <f t="shared" si="34"/>
        <v>0</v>
      </c>
      <c r="F138" s="136">
        <f t="shared" si="34"/>
        <v>0</v>
      </c>
      <c r="G138" s="136">
        <f t="shared" si="34"/>
        <v>0</v>
      </c>
      <c r="H138" s="136">
        <f t="shared" si="34"/>
        <v>0</v>
      </c>
      <c r="I138" s="136">
        <f t="shared" si="34"/>
        <v>0</v>
      </c>
      <c r="J138" s="136">
        <f t="shared" si="34"/>
        <v>0</v>
      </c>
      <c r="K138" s="136">
        <f t="shared" si="34"/>
        <v>0</v>
      </c>
      <c r="N138" s="41" t="str">
        <f>N121</f>
        <v>Технология будущего 4</v>
      </c>
      <c r="P138" s="136">
        <v>0</v>
      </c>
    </row>
    <row r="139" spans="2:16" x14ac:dyDescent="0.25">
      <c r="B139" s="39" t="str">
        <f t="shared" si="33"/>
        <v>равнины и луга</v>
      </c>
      <c r="D139" s="136">
        <f t="shared" si="34"/>
        <v>0</v>
      </c>
      <c r="E139" s="136">
        <f t="shared" si="34"/>
        <v>0</v>
      </c>
      <c r="F139" s="136">
        <f t="shared" si="34"/>
        <v>0</v>
      </c>
      <c r="G139" s="136">
        <f t="shared" si="34"/>
        <v>0</v>
      </c>
      <c r="H139" s="136">
        <f t="shared" si="34"/>
        <v>0</v>
      </c>
      <c r="I139" s="136">
        <f t="shared" si="34"/>
        <v>0</v>
      </c>
      <c r="J139" s="136">
        <f t="shared" si="34"/>
        <v>0</v>
      </c>
      <c r="K139" s="136">
        <f t="shared" si="34"/>
        <v>0</v>
      </c>
      <c r="N139" s="41" t="str">
        <f>N138</f>
        <v>Технология будущего 4</v>
      </c>
      <c r="P139" s="136">
        <v>0</v>
      </c>
    </row>
    <row r="140" spans="2:16" x14ac:dyDescent="0.25">
      <c r="B140" s="39" t="str">
        <f t="shared" si="33"/>
        <v>лес</v>
      </c>
      <c r="D140" s="136">
        <f t="shared" si="34"/>
        <v>0</v>
      </c>
      <c r="E140" s="136">
        <f t="shared" si="34"/>
        <v>0</v>
      </c>
      <c r="F140" s="136">
        <f t="shared" si="34"/>
        <v>0</v>
      </c>
      <c r="G140" s="136">
        <f t="shared" si="34"/>
        <v>0</v>
      </c>
      <c r="H140" s="136">
        <f t="shared" si="34"/>
        <v>0</v>
      </c>
      <c r="I140" s="136">
        <f t="shared" si="34"/>
        <v>0</v>
      </c>
      <c r="J140" s="136">
        <f t="shared" si="34"/>
        <v>0</v>
      </c>
      <c r="K140" s="136">
        <f t="shared" si="34"/>
        <v>0</v>
      </c>
      <c r="N140" s="41" t="str">
        <f>N139</f>
        <v>Технология будущего 4</v>
      </c>
      <c r="P140" s="136">
        <v>0</v>
      </c>
    </row>
    <row r="141" spans="2:16" x14ac:dyDescent="0.25">
      <c r="B141" s="39" t="str">
        <f t="shared" si="33"/>
        <v>джунгли</v>
      </c>
      <c r="D141" s="136">
        <f t="shared" si="34"/>
        <v>1</v>
      </c>
      <c r="E141" s="136">
        <f t="shared" si="34"/>
        <v>0</v>
      </c>
      <c r="F141" s="136">
        <f t="shared" si="34"/>
        <v>0</v>
      </c>
      <c r="G141" s="136">
        <f t="shared" si="34"/>
        <v>1</v>
      </c>
      <c r="H141" s="136">
        <f t="shared" si="34"/>
        <v>1</v>
      </c>
      <c r="I141" s="136">
        <f t="shared" si="34"/>
        <v>1</v>
      </c>
      <c r="J141" s="136">
        <f t="shared" si="34"/>
        <v>0</v>
      </c>
      <c r="K141" s="136">
        <f t="shared" si="34"/>
        <v>0</v>
      </c>
      <c r="N141" s="41" t="str">
        <f>Наука!B30</f>
        <v>Биология</v>
      </c>
      <c r="P141" s="136">
        <v>0</v>
      </c>
    </row>
    <row r="142" spans="2:16" x14ac:dyDescent="0.25">
      <c r="B142" s="39" t="str">
        <f t="shared" si="33"/>
        <v>пустыни</v>
      </c>
      <c r="D142" s="136">
        <f t="shared" si="34"/>
        <v>0</v>
      </c>
      <c r="E142" s="136">
        <f t="shared" si="34"/>
        <v>0</v>
      </c>
      <c r="F142" s="136">
        <f t="shared" si="34"/>
        <v>0</v>
      </c>
      <c r="G142" s="136">
        <f t="shared" si="34"/>
        <v>0</v>
      </c>
      <c r="H142" s="136">
        <f t="shared" si="34"/>
        <v>0</v>
      </c>
      <c r="I142" s="136">
        <f t="shared" si="34"/>
        <v>0</v>
      </c>
      <c r="J142" s="136">
        <f t="shared" si="34"/>
        <v>0</v>
      </c>
      <c r="K142" s="136">
        <f t="shared" si="34"/>
        <v>0</v>
      </c>
      <c r="N142" s="41" t="str">
        <f>N140</f>
        <v>Технология будущего 4</v>
      </c>
      <c r="P142" s="136">
        <v>0</v>
      </c>
    </row>
    <row r="143" spans="2:16" x14ac:dyDescent="0.25">
      <c r="B143" s="39" t="str">
        <f t="shared" si="33"/>
        <v>арктика</v>
      </c>
      <c r="D143" s="136">
        <f t="shared" si="34"/>
        <v>0</v>
      </c>
      <c r="E143" s="136">
        <f t="shared" si="34"/>
        <v>0</v>
      </c>
      <c r="F143" s="136">
        <f t="shared" si="34"/>
        <v>0</v>
      </c>
      <c r="G143" s="136">
        <f t="shared" si="34"/>
        <v>0</v>
      </c>
      <c r="H143" s="136">
        <f t="shared" si="34"/>
        <v>0</v>
      </c>
      <c r="I143" s="136">
        <f t="shared" si="34"/>
        <v>0</v>
      </c>
      <c r="J143" s="136">
        <f t="shared" si="34"/>
        <v>0</v>
      </c>
      <c r="K143" s="136">
        <f t="shared" si="34"/>
        <v>0</v>
      </c>
      <c r="N143" s="41" t="str">
        <f>N140</f>
        <v>Технология будущего 4</v>
      </c>
      <c r="P143" s="136">
        <v>0</v>
      </c>
    </row>
    <row r="144" spans="2:16" x14ac:dyDescent="0.25">
      <c r="B144" s="39" t="str">
        <f t="shared" si="33"/>
        <v>моря и океаны</v>
      </c>
      <c r="D144" s="136">
        <f t="shared" si="34"/>
        <v>0</v>
      </c>
      <c r="E144" s="136">
        <f t="shared" si="34"/>
        <v>0</v>
      </c>
      <c r="F144" s="136">
        <f t="shared" si="34"/>
        <v>0</v>
      </c>
      <c r="G144" s="136">
        <f t="shared" si="34"/>
        <v>0</v>
      </c>
      <c r="H144" s="136">
        <f t="shared" si="34"/>
        <v>0</v>
      </c>
      <c r="I144" s="136">
        <f t="shared" si="34"/>
        <v>0</v>
      </c>
      <c r="J144" s="136">
        <f t="shared" si="34"/>
        <v>0</v>
      </c>
      <c r="K144" s="136">
        <f t="shared" si="34"/>
        <v>0</v>
      </c>
      <c r="N144" s="41" t="str">
        <f>N143</f>
        <v>Технология будущего 4</v>
      </c>
      <c r="P144" s="136">
        <v>0</v>
      </c>
    </row>
    <row r="145" spans="2:16" x14ac:dyDescent="0.25">
      <c r="B145" s="39" t="str">
        <f t="shared" si="33"/>
        <v>горы</v>
      </c>
      <c r="D145" s="136">
        <f t="shared" si="34"/>
        <v>0</v>
      </c>
      <c r="E145" s="136">
        <f t="shared" si="34"/>
        <v>0</v>
      </c>
      <c r="F145" s="136">
        <f t="shared" si="34"/>
        <v>0</v>
      </c>
      <c r="G145" s="136">
        <f t="shared" si="34"/>
        <v>0</v>
      </c>
      <c r="H145" s="136">
        <f t="shared" si="34"/>
        <v>0</v>
      </c>
      <c r="I145" s="136">
        <f t="shared" si="34"/>
        <v>0</v>
      </c>
      <c r="J145" s="136">
        <f t="shared" si="34"/>
        <v>0</v>
      </c>
      <c r="K145" s="136">
        <f t="shared" si="34"/>
        <v>0</v>
      </c>
      <c r="N145" s="41" t="str">
        <f>N144</f>
        <v>Технология будущего 4</v>
      </c>
      <c r="P145" s="136">
        <v>0</v>
      </c>
    </row>
    <row r="146" spans="2:16" x14ac:dyDescent="0.25">
      <c r="B146" s="39"/>
      <c r="N146" s="86"/>
    </row>
    <row r="147" spans="2:16" x14ac:dyDescent="0.25">
      <c r="B147" s="210" t="s">
        <v>392</v>
      </c>
      <c r="N147" s="86"/>
    </row>
    <row r="148" spans="2:16" x14ac:dyDescent="0.25">
      <c r="B148" s="39" t="str">
        <f t="shared" si="32"/>
        <v>холмы</v>
      </c>
      <c r="D148" s="136">
        <f t="shared" ref="D148:K155" si="35">(VLOOKUP($N148,$B$1:$K$46,D$55,0)&lt;&gt;"")+$P148</f>
        <v>0</v>
      </c>
      <c r="E148" s="136">
        <f t="shared" si="35"/>
        <v>0</v>
      </c>
      <c r="F148" s="136">
        <f t="shared" si="35"/>
        <v>0</v>
      </c>
      <c r="G148" s="136">
        <f t="shared" si="35"/>
        <v>0</v>
      </c>
      <c r="H148" s="136">
        <f t="shared" si="35"/>
        <v>0</v>
      </c>
      <c r="I148" s="136">
        <f t="shared" si="35"/>
        <v>0</v>
      </c>
      <c r="J148" s="136">
        <f t="shared" si="35"/>
        <v>0</v>
      </c>
      <c r="K148" s="136">
        <f t="shared" si="35"/>
        <v>0</v>
      </c>
      <c r="N148" s="41" t="str">
        <f>N152</f>
        <v>Технология будущего 4</v>
      </c>
      <c r="P148" s="136">
        <v>0</v>
      </c>
    </row>
    <row r="149" spans="2:16" x14ac:dyDescent="0.25">
      <c r="B149" s="39" t="str">
        <f t="shared" si="32"/>
        <v>равнины и луга</v>
      </c>
      <c r="D149" s="136">
        <f t="shared" si="35"/>
        <v>1</v>
      </c>
      <c r="E149" s="136">
        <f t="shared" si="35"/>
        <v>1</v>
      </c>
      <c r="F149" s="136">
        <f t="shared" si="35"/>
        <v>1</v>
      </c>
      <c r="G149" s="136">
        <f t="shared" si="35"/>
        <v>1</v>
      </c>
      <c r="H149" s="136">
        <f t="shared" si="35"/>
        <v>1</v>
      </c>
      <c r="I149" s="136">
        <f t="shared" si="35"/>
        <v>1</v>
      </c>
      <c r="J149" s="136">
        <f t="shared" si="35"/>
        <v>1</v>
      </c>
      <c r="K149" s="136">
        <f t="shared" si="35"/>
        <v>1</v>
      </c>
      <c r="N149" s="41" t="str">
        <f>N148</f>
        <v>Технология будущего 4</v>
      </c>
      <c r="P149" s="136">
        <v>1</v>
      </c>
    </row>
    <row r="150" spans="2:16" x14ac:dyDescent="0.25">
      <c r="B150" s="39" t="str">
        <f t="shared" si="32"/>
        <v>лес</v>
      </c>
      <c r="D150" s="136">
        <f t="shared" si="35"/>
        <v>1</v>
      </c>
      <c r="E150" s="136">
        <f t="shared" si="35"/>
        <v>1</v>
      </c>
      <c r="F150" s="136">
        <f t="shared" si="35"/>
        <v>0</v>
      </c>
      <c r="G150" s="136">
        <f t="shared" si="35"/>
        <v>1</v>
      </c>
      <c r="H150" s="136">
        <f t="shared" si="35"/>
        <v>1</v>
      </c>
      <c r="I150" s="136">
        <f t="shared" si="35"/>
        <v>1</v>
      </c>
      <c r="J150" s="136">
        <f t="shared" si="35"/>
        <v>1</v>
      </c>
      <c r="K150" s="136">
        <f t="shared" si="35"/>
        <v>1</v>
      </c>
      <c r="N150" s="41" t="str">
        <f>N151</f>
        <v>Охота</v>
      </c>
      <c r="P150" s="136">
        <v>0</v>
      </c>
    </row>
    <row r="151" spans="2:16" x14ac:dyDescent="0.25">
      <c r="B151" s="39" t="str">
        <f t="shared" si="32"/>
        <v>джунгли</v>
      </c>
      <c r="D151" s="136">
        <f t="shared" si="35"/>
        <v>1</v>
      </c>
      <c r="E151" s="136">
        <f t="shared" si="35"/>
        <v>1</v>
      </c>
      <c r="F151" s="136">
        <f t="shared" si="35"/>
        <v>0</v>
      </c>
      <c r="G151" s="136">
        <f t="shared" si="35"/>
        <v>1</v>
      </c>
      <c r="H151" s="136">
        <f t="shared" si="35"/>
        <v>1</v>
      </c>
      <c r="I151" s="136">
        <f t="shared" si="35"/>
        <v>1</v>
      </c>
      <c r="J151" s="136">
        <f t="shared" si="35"/>
        <v>1</v>
      </c>
      <c r="K151" s="136">
        <f t="shared" si="35"/>
        <v>1</v>
      </c>
      <c r="N151" s="41" t="str">
        <f>Наука!B5</f>
        <v>Охота</v>
      </c>
      <c r="P151" s="136">
        <v>0</v>
      </c>
    </row>
    <row r="152" spans="2:16" x14ac:dyDescent="0.25">
      <c r="B152" s="39" t="str">
        <f t="shared" si="32"/>
        <v>пустыни</v>
      </c>
      <c r="D152" s="136">
        <f t="shared" si="35"/>
        <v>0</v>
      </c>
      <c r="E152" s="136">
        <f t="shared" si="35"/>
        <v>0</v>
      </c>
      <c r="F152" s="136">
        <f t="shared" si="35"/>
        <v>0</v>
      </c>
      <c r="G152" s="136">
        <f t="shared" si="35"/>
        <v>0</v>
      </c>
      <c r="H152" s="136">
        <f t="shared" si="35"/>
        <v>0</v>
      </c>
      <c r="I152" s="136">
        <f t="shared" si="35"/>
        <v>0</v>
      </c>
      <c r="J152" s="136">
        <f t="shared" si="35"/>
        <v>0</v>
      </c>
      <c r="K152" s="136">
        <f t="shared" si="35"/>
        <v>0</v>
      </c>
      <c r="N152" s="41" t="str">
        <f>B45</f>
        <v>Технология будущего 4</v>
      </c>
      <c r="P152" s="136">
        <v>0</v>
      </c>
    </row>
    <row r="153" spans="2:16" x14ac:dyDescent="0.25">
      <c r="B153" s="39" t="str">
        <f t="shared" si="32"/>
        <v>арктика</v>
      </c>
      <c r="D153" s="136">
        <f t="shared" si="35"/>
        <v>0</v>
      </c>
      <c r="E153" s="136">
        <f t="shared" si="35"/>
        <v>0</v>
      </c>
      <c r="F153" s="136">
        <f t="shared" si="35"/>
        <v>0</v>
      </c>
      <c r="G153" s="136">
        <f t="shared" si="35"/>
        <v>0</v>
      </c>
      <c r="H153" s="136">
        <f t="shared" si="35"/>
        <v>0</v>
      </c>
      <c r="I153" s="136">
        <f t="shared" si="35"/>
        <v>0</v>
      </c>
      <c r="J153" s="136">
        <f t="shared" si="35"/>
        <v>0</v>
      </c>
      <c r="K153" s="136">
        <f t="shared" si="35"/>
        <v>0</v>
      </c>
      <c r="N153" s="41" t="str">
        <f>N152</f>
        <v>Технология будущего 4</v>
      </c>
      <c r="P153" s="136">
        <v>0</v>
      </c>
    </row>
    <row r="154" spans="2:16" x14ac:dyDescent="0.25">
      <c r="B154" s="39" t="str">
        <f t="shared" si="32"/>
        <v>моря и океаны</v>
      </c>
      <c r="D154" s="136">
        <f t="shared" si="35"/>
        <v>0</v>
      </c>
      <c r="E154" s="136">
        <f t="shared" si="35"/>
        <v>0</v>
      </c>
      <c r="F154" s="136">
        <f t="shared" si="35"/>
        <v>0</v>
      </c>
      <c r="G154" s="136">
        <f t="shared" si="35"/>
        <v>0</v>
      </c>
      <c r="H154" s="136">
        <f t="shared" si="35"/>
        <v>0</v>
      </c>
      <c r="I154" s="136">
        <f t="shared" si="35"/>
        <v>0</v>
      </c>
      <c r="J154" s="136">
        <f t="shared" si="35"/>
        <v>0</v>
      </c>
      <c r="K154" s="136">
        <f t="shared" si="35"/>
        <v>0</v>
      </c>
      <c r="N154" s="41" t="str">
        <f>N153</f>
        <v>Технология будущего 4</v>
      </c>
      <c r="P154" s="136">
        <v>0</v>
      </c>
    </row>
    <row r="155" spans="2:16" x14ac:dyDescent="0.25">
      <c r="B155" s="39" t="str">
        <f t="shared" si="32"/>
        <v>горы</v>
      </c>
      <c r="D155" s="136">
        <f t="shared" si="35"/>
        <v>0</v>
      </c>
      <c r="E155" s="136">
        <f t="shared" si="35"/>
        <v>0</v>
      </c>
      <c r="F155" s="136">
        <f t="shared" si="35"/>
        <v>0</v>
      </c>
      <c r="G155" s="136">
        <f t="shared" si="35"/>
        <v>0</v>
      </c>
      <c r="H155" s="136">
        <f t="shared" si="35"/>
        <v>0</v>
      </c>
      <c r="I155" s="136">
        <f t="shared" si="35"/>
        <v>0</v>
      </c>
      <c r="J155" s="136">
        <f t="shared" si="35"/>
        <v>0</v>
      </c>
      <c r="K155" s="136">
        <f t="shared" si="35"/>
        <v>0</v>
      </c>
      <c r="N155" s="41" t="str">
        <f>N154</f>
        <v>Технология будущего 4</v>
      </c>
      <c r="P155" s="136">
        <v>0</v>
      </c>
    </row>
    <row r="156" spans="2:16" x14ac:dyDescent="0.25">
      <c r="N156" s="86"/>
    </row>
    <row r="157" spans="2:16" x14ac:dyDescent="0.25">
      <c r="B157" s="210" t="s">
        <v>393</v>
      </c>
      <c r="N157" s="86"/>
    </row>
    <row r="158" spans="2:16" x14ac:dyDescent="0.25">
      <c r="B158" s="39" t="str">
        <f t="shared" ref="B158:B165" si="36">B148</f>
        <v>холмы</v>
      </c>
      <c r="D158" s="136">
        <f t="shared" ref="D158:K165" si="37">(VLOOKUP($N158,$B$1:$K$46,D$55,0)&lt;&gt;"")+$P158</f>
        <v>1</v>
      </c>
      <c r="E158" s="136">
        <f t="shared" si="37"/>
        <v>1</v>
      </c>
      <c r="F158" s="136">
        <f t="shared" si="37"/>
        <v>1</v>
      </c>
      <c r="G158" s="136">
        <f t="shared" si="37"/>
        <v>1</v>
      </c>
      <c r="H158" s="136">
        <f t="shared" si="37"/>
        <v>1</v>
      </c>
      <c r="I158" s="136">
        <f t="shared" si="37"/>
        <v>1</v>
      </c>
      <c r="J158" s="136">
        <f t="shared" si="37"/>
        <v>1</v>
      </c>
      <c r="K158" s="136">
        <f t="shared" si="37"/>
        <v>1</v>
      </c>
      <c r="N158" s="41" t="str">
        <f>N155</f>
        <v>Технология будущего 4</v>
      </c>
      <c r="P158" s="136">
        <v>1</v>
      </c>
    </row>
    <row r="159" spans="2:16" x14ac:dyDescent="0.25">
      <c r="B159" s="39" t="str">
        <f t="shared" si="36"/>
        <v>равнины и луга</v>
      </c>
      <c r="D159" s="136">
        <f t="shared" si="37"/>
        <v>1</v>
      </c>
      <c r="E159" s="136">
        <f t="shared" si="37"/>
        <v>1</v>
      </c>
      <c r="F159" s="136">
        <f t="shared" si="37"/>
        <v>1</v>
      </c>
      <c r="G159" s="136">
        <f t="shared" si="37"/>
        <v>1</v>
      </c>
      <c r="H159" s="136">
        <f t="shared" si="37"/>
        <v>1</v>
      </c>
      <c r="I159" s="136">
        <f t="shared" si="37"/>
        <v>1</v>
      </c>
      <c r="J159" s="136">
        <f t="shared" si="37"/>
        <v>1</v>
      </c>
      <c r="K159" s="136">
        <f t="shared" si="37"/>
        <v>1</v>
      </c>
      <c r="N159" s="41" t="str">
        <f>N158</f>
        <v>Технология будущего 4</v>
      </c>
      <c r="P159" s="136">
        <v>1</v>
      </c>
    </row>
    <row r="160" spans="2:16" x14ac:dyDescent="0.25">
      <c r="B160" s="39" t="str">
        <f t="shared" si="36"/>
        <v>лес</v>
      </c>
      <c r="D160" s="136">
        <f t="shared" si="37"/>
        <v>1</v>
      </c>
      <c r="E160" s="136">
        <f t="shared" si="37"/>
        <v>1</v>
      </c>
      <c r="F160" s="136">
        <f t="shared" si="37"/>
        <v>1</v>
      </c>
      <c r="G160" s="136">
        <f t="shared" si="37"/>
        <v>1</v>
      </c>
      <c r="H160" s="136">
        <f t="shared" si="37"/>
        <v>1</v>
      </c>
      <c r="I160" s="136">
        <f t="shared" si="37"/>
        <v>1</v>
      </c>
      <c r="J160" s="136">
        <f t="shared" si="37"/>
        <v>1</v>
      </c>
      <c r="K160" s="136">
        <f t="shared" si="37"/>
        <v>1</v>
      </c>
      <c r="N160" s="41" t="str">
        <f t="shared" ref="N160:N163" si="38">N159</f>
        <v>Технология будущего 4</v>
      </c>
      <c r="P160" s="136">
        <v>1</v>
      </c>
    </row>
    <row r="161" spans="2:16" x14ac:dyDescent="0.25">
      <c r="B161" s="39" t="str">
        <f t="shared" si="36"/>
        <v>джунгли</v>
      </c>
      <c r="D161" s="136">
        <f t="shared" si="37"/>
        <v>1</v>
      </c>
      <c r="E161" s="136">
        <f t="shared" si="37"/>
        <v>1</v>
      </c>
      <c r="F161" s="136">
        <f t="shared" si="37"/>
        <v>1</v>
      </c>
      <c r="G161" s="136">
        <f t="shared" si="37"/>
        <v>1</v>
      </c>
      <c r="H161" s="136">
        <f t="shared" si="37"/>
        <v>1</v>
      </c>
      <c r="I161" s="136">
        <f t="shared" si="37"/>
        <v>1</v>
      </c>
      <c r="J161" s="136">
        <f t="shared" si="37"/>
        <v>1</v>
      </c>
      <c r="K161" s="136">
        <f t="shared" si="37"/>
        <v>1</v>
      </c>
      <c r="N161" s="41" t="str">
        <f t="shared" si="38"/>
        <v>Технология будущего 4</v>
      </c>
      <c r="P161" s="136">
        <v>1</v>
      </c>
    </row>
    <row r="162" spans="2:16" x14ac:dyDescent="0.25">
      <c r="B162" s="39" t="str">
        <f t="shared" si="36"/>
        <v>пустыни</v>
      </c>
      <c r="D162" s="136">
        <f t="shared" si="37"/>
        <v>1</v>
      </c>
      <c r="E162" s="136">
        <f t="shared" si="37"/>
        <v>1</v>
      </c>
      <c r="F162" s="136">
        <f t="shared" si="37"/>
        <v>1</v>
      </c>
      <c r="G162" s="136">
        <f t="shared" si="37"/>
        <v>1</v>
      </c>
      <c r="H162" s="136">
        <f t="shared" si="37"/>
        <v>1</v>
      </c>
      <c r="I162" s="136">
        <f t="shared" si="37"/>
        <v>1</v>
      </c>
      <c r="J162" s="136">
        <f t="shared" si="37"/>
        <v>1</v>
      </c>
      <c r="K162" s="136">
        <f t="shared" si="37"/>
        <v>1</v>
      </c>
      <c r="N162" s="41" t="str">
        <f t="shared" si="38"/>
        <v>Технология будущего 4</v>
      </c>
      <c r="P162" s="136">
        <v>1</v>
      </c>
    </row>
    <row r="163" spans="2:16" x14ac:dyDescent="0.25">
      <c r="B163" s="39" t="str">
        <f t="shared" si="36"/>
        <v>арктика</v>
      </c>
      <c r="D163" s="136">
        <f t="shared" si="37"/>
        <v>1</v>
      </c>
      <c r="E163" s="136">
        <f t="shared" si="37"/>
        <v>1</v>
      </c>
      <c r="F163" s="136">
        <f t="shared" si="37"/>
        <v>1</v>
      </c>
      <c r="G163" s="136">
        <f t="shared" si="37"/>
        <v>1</v>
      </c>
      <c r="H163" s="136">
        <f t="shared" si="37"/>
        <v>1</v>
      </c>
      <c r="I163" s="136">
        <f t="shared" si="37"/>
        <v>1</v>
      </c>
      <c r="J163" s="136">
        <f t="shared" si="37"/>
        <v>1</v>
      </c>
      <c r="K163" s="136">
        <f t="shared" si="37"/>
        <v>1</v>
      </c>
      <c r="N163" s="41" t="str">
        <f t="shared" si="38"/>
        <v>Технология будущего 4</v>
      </c>
      <c r="P163" s="136">
        <v>1</v>
      </c>
    </row>
    <row r="164" spans="2:16" x14ac:dyDescent="0.25">
      <c r="B164" s="39" t="str">
        <f t="shared" si="36"/>
        <v>моря и океаны</v>
      </c>
      <c r="D164" s="136">
        <f t="shared" si="37"/>
        <v>1</v>
      </c>
      <c r="E164" s="136">
        <f t="shared" si="37"/>
        <v>0</v>
      </c>
      <c r="F164" s="136">
        <f t="shared" si="37"/>
        <v>1</v>
      </c>
      <c r="G164" s="136">
        <f t="shared" si="37"/>
        <v>1</v>
      </c>
      <c r="H164" s="136">
        <f t="shared" si="37"/>
        <v>1</v>
      </c>
      <c r="I164" s="136">
        <f t="shared" si="37"/>
        <v>1</v>
      </c>
      <c r="J164" s="136">
        <f t="shared" si="37"/>
        <v>1</v>
      </c>
      <c r="K164" s="136">
        <f t="shared" si="37"/>
        <v>0</v>
      </c>
      <c r="N164" s="41" t="str">
        <f>B6</f>
        <v>Навигация</v>
      </c>
      <c r="P164" s="136">
        <v>0</v>
      </c>
    </row>
    <row r="165" spans="2:16" x14ac:dyDescent="0.25">
      <c r="B165" s="39" t="str">
        <f t="shared" si="36"/>
        <v>горы</v>
      </c>
      <c r="D165" s="136">
        <f t="shared" si="37"/>
        <v>1</v>
      </c>
      <c r="E165" s="136">
        <f t="shared" si="37"/>
        <v>0</v>
      </c>
      <c r="F165" s="136">
        <f t="shared" si="37"/>
        <v>0</v>
      </c>
      <c r="G165" s="136">
        <f t="shared" si="37"/>
        <v>1</v>
      </c>
      <c r="H165" s="136">
        <f t="shared" si="37"/>
        <v>1</v>
      </c>
      <c r="I165" s="136">
        <f t="shared" si="37"/>
        <v>0</v>
      </c>
      <c r="J165" s="136">
        <f t="shared" si="37"/>
        <v>1</v>
      </c>
      <c r="K165" s="136">
        <f t="shared" si="37"/>
        <v>0</v>
      </c>
      <c r="N165" s="41" t="str">
        <f>Наука!B22</f>
        <v>Химия</v>
      </c>
      <c r="P165" s="136">
        <v>0</v>
      </c>
    </row>
    <row r="166" spans="2:16" x14ac:dyDescent="0.25">
      <c r="B166" s="39"/>
      <c r="N166" s="86"/>
    </row>
    <row r="167" spans="2:16" x14ac:dyDescent="0.25">
      <c r="B167" s="39"/>
      <c r="D167" s="1" t="s">
        <v>394</v>
      </c>
      <c r="E167" s="138" t="s">
        <v>394</v>
      </c>
      <c r="F167" s="138" t="s">
        <v>394</v>
      </c>
      <c r="G167" s="138" t="s">
        <v>394</v>
      </c>
      <c r="H167" s="138" t="s">
        <v>394</v>
      </c>
      <c r="I167" s="138" t="s">
        <v>394</v>
      </c>
      <c r="J167" s="138" t="s">
        <v>394</v>
      </c>
      <c r="K167" s="138" t="s">
        <v>394</v>
      </c>
      <c r="N167" s="86"/>
    </row>
    <row r="168" spans="2:16" x14ac:dyDescent="0.25">
      <c r="B168" s="39" t="str">
        <f t="shared" ref="B168:B175" si="39">B158</f>
        <v>холмы</v>
      </c>
      <c r="D168" s="41" t="str">
        <f>D167&amp;"[li]"&amp;$B168&amp;IF(D158,": ЛИБО ("&amp;IF(D114+1,"+"&amp;D114+1&amp;" "&amp;База!$L$2&amp;IF(D124+D138,"; ",""), "")&amp;IF(D124,"+"&amp;D124&amp;" "&amp;База!$L$3&amp;IF(D138,"; ",""), "")&amp;IF(D138,"+"&amp;D138&amp;" "&amp;База!$L$4,"")&amp;") ЛИБО ("&amp;IF(D114,"+"&amp;D114&amp;" "&amp;База!$L$2&amp;"; ","")&amp;IF(D124+1,"+"&amp;(D124+1)+D$132&amp;" "&amp;База!$L$3&amp;IF(D138,"; ",""),"")&amp;IF(D138,"+"&amp;D138&amp;" "&amp;База!$L$4,"")&amp;") ЛИБО ("&amp;IF(D114,"+"&amp;D114&amp;" "&amp;База!$L$2&amp;"; ","")&amp;IF(D124,"+"&amp;D124&amp;" "&amp;База!$L$3&amp;"; ","")&amp;IF(D138+1,"+"&amp;D138+1&amp;" "&amp;База!$L$4,"")&amp;")"&amp;IF(D148," ЛИБО (+1 нас.)", "")," - не обрабатываются")&amp;"[/li]"</f>
        <v>[ul][li]холмы: ЛИБО (+3 Мл) ЛИБО (+2 Мл; +2 Мн) ЛИБО (+2 Мл; +1 ОН)[/li]</v>
      </c>
      <c r="E168" s="41" t="str">
        <f>E167&amp;"[li]"&amp;$B168&amp;IF(E158,": ЛИБО ("&amp;IF(E114+1,"+"&amp;E114+1&amp;" "&amp;База!$L$2&amp;IF(E124+E138,"; ",""), "")&amp;IF(E124,"+"&amp;E124&amp;" "&amp;База!$L$3&amp;IF(E138,"; ",""), "")&amp;IF(E138,"+"&amp;E138&amp;" "&amp;База!$L$4,"")&amp;") ЛИБО ("&amp;IF(E114,"+"&amp;E114&amp;" "&amp;База!$L$2&amp;"; ","")&amp;IF(E124+1,"+"&amp;(E124+1)+E$132&amp;" "&amp;База!$L$3&amp;IF(E138,"; ",""),"")&amp;IF(E138,"+"&amp;E138&amp;" "&amp;База!$L$4,"")&amp;") ЛИБО ("&amp;IF(E114,"+"&amp;E114&amp;" "&amp;База!$L$2&amp;"; ","")&amp;IF(E124,"+"&amp;E124&amp;" "&amp;База!$L$3&amp;"; ","")&amp;IF(E138+1,"+"&amp;E138+1&amp;" "&amp;База!$L$4,"")&amp;")"&amp;IF(E148," ЛИБО (+1 нас.)", "")," - не обрабатываются")&amp;"[/li]"</f>
        <v>[ul][li]холмы: ЛИБО (+2 Мл) ЛИБО (+1 Мл; +2 Мн) ЛИБО (+1 Мл; +1 ОН)[/li]</v>
      </c>
      <c r="F168" s="41" t="str">
        <f>F167&amp;"[li]"&amp;$B168&amp;IF(F158,": ЛИБО ("&amp;IF(F114+1,"+"&amp;F114+1&amp;" "&amp;База!$L$2&amp;IF(F124+F138,"; ",""), "")&amp;IF(F124,"+"&amp;F124&amp;" "&amp;База!$L$3&amp;IF(F138,"; ",""), "")&amp;IF(F138,"+"&amp;F138&amp;" "&amp;База!$L$4,"")&amp;") ЛИБО ("&amp;IF(F114,"+"&amp;F114&amp;" "&amp;База!$L$2&amp;"; ","")&amp;IF(F124+1,"+"&amp;(F124+1)+F$132&amp;" "&amp;База!$L$3&amp;IF(F138,"; ",""),"")&amp;IF(F138,"+"&amp;F138&amp;" "&amp;База!$L$4,"")&amp;") ЛИБО ("&amp;IF(F114,"+"&amp;F114&amp;" "&amp;База!$L$2&amp;"; ","")&amp;IF(F124,"+"&amp;F124&amp;" "&amp;База!$L$3&amp;"; ","")&amp;IF(F138+1,"+"&amp;F138+1&amp;" "&amp;База!$L$4,"")&amp;")"&amp;IF(F148," ЛИБО (+1 нас.)", "")," - не обрабатываются")&amp;"[/li]"</f>
        <v>[ul][li]холмы: ЛИБО (+2 Мл) ЛИБО (+1 Мл; +1 Мн) ЛИБО (+1 Мл; +1 ОН)[/li]</v>
      </c>
      <c r="G168" s="41" t="str">
        <f>G167&amp;"[li]"&amp;$B168&amp;IF(G158,": ЛИБО ("&amp;IF(G114+1,"+"&amp;G114+1&amp;" "&amp;База!$L$2&amp;IF(G124+G138,"; ",""), "")&amp;IF(G124,"+"&amp;G124&amp;" "&amp;База!$L$3&amp;IF(G138,"; ",""), "")&amp;IF(G138,"+"&amp;G138&amp;" "&amp;База!$L$4,"")&amp;") ЛИБО ("&amp;IF(G114,"+"&amp;G114&amp;" "&amp;База!$L$2&amp;"; ","")&amp;IF(G124+1,"+"&amp;(G124+1)+G$132&amp;" "&amp;База!$L$3&amp;IF(G138,"; ",""),"")&amp;IF(G138,"+"&amp;G138&amp;" "&amp;База!$L$4,"")&amp;") ЛИБО ("&amp;IF(G114,"+"&amp;G114&amp;" "&amp;База!$L$2&amp;"; ","")&amp;IF(G124,"+"&amp;G124&amp;" "&amp;База!$L$3&amp;"; ","")&amp;IF(G138+1,"+"&amp;G138+1&amp;" "&amp;База!$L$4,"")&amp;")"&amp;IF(G148," ЛИБО (+1 нас.)", "")," - не обрабатываются")&amp;"[/li]"</f>
        <v>[ul][li]холмы: ЛИБО (+2 Мл) ЛИБО (+1 Мл; +2 Мн) ЛИБО (+1 Мл; +1 ОН)[/li]</v>
      </c>
      <c r="H168" s="41" t="str">
        <f>H167&amp;"[li]"&amp;$B168&amp;IF(H158,": ЛИБО ("&amp;IF(H114+1,"+"&amp;H114+1&amp;" "&amp;База!$L$2&amp;IF(H124+H138,"; ",""), "")&amp;IF(H124,"+"&amp;H124&amp;" "&amp;База!$L$3&amp;IF(H138,"; ",""), "")&amp;IF(H138,"+"&amp;H138&amp;" "&amp;База!$L$4,"")&amp;") ЛИБО ("&amp;IF(H114,"+"&amp;H114&amp;" "&amp;База!$L$2&amp;"; ","")&amp;IF(H124+1,"+"&amp;(H124+1)+H$132&amp;" "&amp;База!$L$3&amp;IF(H138,"; ",""),"")&amp;IF(H138,"+"&amp;H138&amp;" "&amp;База!$L$4,"")&amp;") ЛИБО ("&amp;IF(H114,"+"&amp;H114&amp;" "&amp;База!$L$2&amp;"; ","")&amp;IF(H124,"+"&amp;H124&amp;" "&amp;База!$L$3&amp;"; ","")&amp;IF(H138+1,"+"&amp;H138+1&amp;" "&amp;База!$L$4,"")&amp;")"&amp;IF(H148," ЛИБО (+1 нас.)", "")," - не обрабатываются")&amp;"[/li]"</f>
        <v>[ul][li]холмы: ЛИБО (+3 Мл) ЛИБО (+2 Мл; +2 Мн) ЛИБО (+2 Мл; +1 ОН)[/li]</v>
      </c>
      <c r="I168" s="41" t="str">
        <f>I167&amp;"[li]"&amp;$B168&amp;IF(I158,": ЛИБО ("&amp;IF(I114+1,"+"&amp;I114+1&amp;" "&amp;База!$L$2&amp;IF(I124+I138,"; ",""), "")&amp;IF(I124,"+"&amp;I124&amp;" "&amp;База!$L$3&amp;IF(I138,"; ",""), "")&amp;IF(I138,"+"&amp;I138&amp;" "&amp;База!$L$4,"")&amp;") ЛИБО ("&amp;IF(I114,"+"&amp;I114&amp;" "&amp;База!$L$2&amp;"; ","")&amp;IF(I124+1,"+"&amp;(I124+1)+I$132&amp;" "&amp;База!$L$3&amp;IF(I138,"; ",""),"")&amp;IF(I138,"+"&amp;I138&amp;" "&amp;База!$L$4,"")&amp;") ЛИБО ("&amp;IF(I114,"+"&amp;I114&amp;" "&amp;База!$L$2&amp;"; ","")&amp;IF(I124,"+"&amp;I124&amp;" "&amp;База!$L$3&amp;"; ","")&amp;IF(I138+1,"+"&amp;I138+1&amp;" "&amp;База!$L$4,"")&amp;")"&amp;IF(I148," ЛИБО (+1 нас.)", "")," - не обрабатываются")&amp;"[/li]"</f>
        <v>[ul][li]холмы: ЛИБО (+2 Мл) ЛИБО (+1 Мл; +2 Мн) ЛИБО (+1 Мл; +1 ОН)[/li]</v>
      </c>
      <c r="J168" s="41" t="str">
        <f>J167&amp;"[li]"&amp;$B168&amp;IF(J158,": ЛИБО ("&amp;IF(J114+1,"+"&amp;J114+1&amp;" "&amp;База!$L$2&amp;IF(J124+J138,"; ",""), "")&amp;IF(J124,"+"&amp;J124&amp;" "&amp;База!$L$3&amp;IF(J138,"; ",""), "")&amp;IF(J138,"+"&amp;J138&amp;" "&amp;База!$L$4,"")&amp;") ЛИБО ("&amp;IF(J114,"+"&amp;J114&amp;" "&amp;База!$L$2&amp;"; ","")&amp;IF(J124+1,"+"&amp;(J124+1)+J$132&amp;" "&amp;База!$L$3&amp;IF(J138,"; ",""),"")&amp;IF(J138,"+"&amp;J138&amp;" "&amp;База!$L$4,"")&amp;") ЛИБО ("&amp;IF(J114,"+"&amp;J114&amp;" "&amp;База!$L$2&amp;"; ","")&amp;IF(J124,"+"&amp;J124&amp;" "&amp;База!$L$3&amp;"; ","")&amp;IF(J138+1,"+"&amp;J138+1&amp;" "&amp;База!$L$4,"")&amp;")"&amp;IF(J148," ЛИБО (+1 нас.)", "")," - не обрабатываются")&amp;"[/li]"</f>
        <v>[ul][li]холмы: ЛИБО (+2 Мл; +1 Мн) ЛИБО (+1 Мл; +4 Мн) ЛИБО (+1 Мл; +1 Мн; +1 ОН)[/li]</v>
      </c>
      <c r="K168" s="41" t="str">
        <f>K167&amp;"[li]"&amp;$B168&amp;IF(K158,": ЛИБО ("&amp;IF(K114+1,"+"&amp;K114+1&amp;" "&amp;База!$L$2&amp;IF(K124+K138,"; ",""), "")&amp;IF(K124,"+"&amp;K124&amp;" "&amp;База!$L$3&amp;IF(K138,"; ",""), "")&amp;IF(K138,"+"&amp;K138&amp;" "&amp;База!$L$4,"")&amp;") ЛИБО ("&amp;IF(K114,"+"&amp;K114&amp;" "&amp;База!$L$2&amp;"; ","")&amp;IF(K124+1,"+"&amp;K124+1&amp;" "&amp;База!$L$3&amp;IF(K138,"; ",""),"")&amp;IF(K138,"+"&amp;K138&amp;" "&amp;База!$L$4,"")&amp;") ЛИБО ("&amp;IF(K114,"+"&amp;K114&amp;" "&amp;База!$L$2&amp;"; ","")&amp;IF(K124,"+"&amp;K124&amp;" "&amp;База!$L$3&amp;"; ","")&amp;IF(K138+1,"+"&amp;K138+1&amp;" "&amp;База!$L$4,"")&amp;")"&amp;IF(K148," ЛИБО (+1 нас.)", "")," - не обрабатываются")&amp;"[/li]"</f>
        <v>[ul][li]холмы: ЛИБО (+2 Мл) ЛИБО (+1 Мл; +1 Мн) ЛИБО (+1 Мл; +1 ОН)[/li]</v>
      </c>
      <c r="N168" s="86"/>
    </row>
    <row r="169" spans="2:16" x14ac:dyDescent="0.25">
      <c r="B169" s="39" t="str">
        <f t="shared" si="39"/>
        <v>равнины и луга</v>
      </c>
      <c r="D169" s="41" t="str">
        <f>D168&amp;"[li]"&amp;$B169&amp;IF(D159,": ЛИБО ("&amp;IF(D115+1,"+"&amp;D115+1&amp;" "&amp;База!$L$2&amp;IF(D125+D139,"; ",""), "")&amp;IF(D125,"+"&amp;D125&amp;" "&amp;База!$L$3&amp;IF(D139,"; ",""), "")&amp;IF(D139,"+"&amp;D139&amp;" "&amp;База!$L$4,"")&amp;") ЛИБО ("&amp;IF(D115,"+"&amp;D115&amp;" "&amp;База!$L$2&amp;"; ","")&amp;IF(D125+1,"+"&amp;(D125+1)+D$132&amp;" "&amp;База!$L$3&amp;IF(D139,"; ",""),"")&amp;IF(D139,"+"&amp;D139&amp;" "&amp;База!$L$4,"")&amp;") ЛИБО ("&amp;IF(D115,"+"&amp;D115&amp;" "&amp;База!$L$2&amp;"; ","")&amp;IF(D125,"+"&amp;D125&amp;" "&amp;База!$L$3&amp;"; ","")&amp;IF(D139+1,"+"&amp;D139+1&amp;" "&amp;База!$L$4,"")&amp;")"&amp;IF(D149,"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</v>
      </c>
      <c r="E169" s="41" t="str">
        <f>E168&amp;"[li]"&amp;$B169&amp;IF(E159,": ЛИБО ("&amp;IF(E115+1,"+"&amp;E115+1&amp;" "&amp;База!$L$2&amp;IF(E125+E139,"; ",""), "")&amp;IF(E125,"+"&amp;E125&amp;" "&amp;База!$L$3&amp;IF(E139,"; ",""), "")&amp;IF(E139,"+"&amp;E139&amp;" "&amp;База!$L$4,"")&amp;") ЛИБО ("&amp;IF(E115,"+"&amp;E115&amp;" "&amp;База!$L$2&amp;"; ","")&amp;IF(E125+1,"+"&amp;(E125+1)+E$132&amp;" "&amp;База!$L$3&amp;IF(E139,"; ",""),"")&amp;IF(E139,"+"&amp;E139&amp;" "&amp;База!$L$4,"")&amp;") ЛИБО ("&amp;IF(E115,"+"&amp;E115&amp;" "&amp;База!$L$2&amp;"; ","")&amp;IF(E125,"+"&amp;E125&amp;" "&amp;База!$L$3&amp;"; ","")&amp;IF(E139+1,"+"&amp;E139+1&amp;" "&amp;База!$L$4,"")&amp;")"&amp;IF(E149,"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</v>
      </c>
      <c r="F169" s="41" t="str">
        <f>F168&amp;"[li]"&amp;$B169&amp;IF(F159,": ЛИБО ("&amp;IF(F115+1,"+"&amp;F115+1&amp;" "&amp;База!$L$2&amp;IF(F125+F139,"; ",""), "")&amp;IF(F125,"+"&amp;F125&amp;" "&amp;База!$L$3&amp;IF(F139,"; ",""), "")&amp;IF(F139,"+"&amp;F139&amp;" "&amp;База!$L$4,"")&amp;") ЛИБО ("&amp;IF(F115,"+"&amp;F115&amp;" "&amp;База!$L$2&amp;"; ","")&amp;IF(F125+1,"+"&amp;(F125+1)+F$132&amp;" "&amp;База!$L$3&amp;IF(F139,"; ",""),"")&amp;IF(F139,"+"&amp;F139&amp;" "&amp;База!$L$4,"")&amp;") ЛИБО ("&amp;IF(F115,"+"&amp;F115&amp;" "&amp;База!$L$2&amp;"; ","")&amp;IF(F125,"+"&amp;F125&amp;" "&amp;База!$L$3&amp;"; ","")&amp;IF(F139+1,"+"&amp;F139+1&amp;" "&amp;База!$L$4,"")&amp;")"&amp;IF(F149,"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</v>
      </c>
      <c r="G169" s="41" t="str">
        <f>G168&amp;"[li]"&amp;$B169&amp;IF(G159,": ЛИБО ("&amp;IF(G115+1,"+"&amp;G115+1&amp;" "&amp;База!$L$2&amp;IF(G125+G139,"; ",""), "")&amp;IF(G125,"+"&amp;G125&amp;" "&amp;База!$L$3&amp;IF(G139,"; ",""), "")&amp;IF(G139,"+"&amp;G139&amp;" "&amp;База!$L$4,"")&amp;") ЛИБО ("&amp;IF(G115,"+"&amp;G115&amp;" "&amp;База!$L$2&amp;"; ","")&amp;IF(G125+1,"+"&amp;(G125+1)+G$132&amp;" "&amp;База!$L$3&amp;IF(G139,"; ",""),"")&amp;IF(G139,"+"&amp;G139&amp;" "&amp;База!$L$4,"")&amp;") ЛИБО ("&amp;IF(G115,"+"&amp;G115&amp;" "&amp;База!$L$2&amp;"; ","")&amp;IF(G125,"+"&amp;G125&amp;" "&amp;База!$L$3&amp;"; ","")&amp;IF(G139+1,"+"&amp;G139+1&amp;" "&amp;База!$L$4,"")&amp;")"&amp;IF(G149,"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</v>
      </c>
      <c r="H169" s="41" t="str">
        <f>H168&amp;"[li]"&amp;$B169&amp;IF(H159,": ЛИБО ("&amp;IF(H115+1,"+"&amp;H115+1&amp;" "&amp;База!$L$2&amp;IF(H125+H139,"; ",""), "")&amp;IF(H125,"+"&amp;H125&amp;" "&amp;База!$L$3&amp;IF(H139,"; ",""), "")&amp;IF(H139,"+"&amp;H139&amp;" "&amp;База!$L$4,"")&amp;") ЛИБО ("&amp;IF(H115,"+"&amp;H115&amp;" "&amp;База!$L$2&amp;"; ","")&amp;IF(H125+1,"+"&amp;(H125+1)+H$132&amp;" "&amp;База!$L$3&amp;IF(H139,"; ",""),"")&amp;IF(H139,"+"&amp;H139&amp;" "&amp;База!$L$4,"")&amp;") ЛИБО ("&amp;IF(H115,"+"&amp;H115&amp;" "&amp;База!$L$2&amp;"; ","")&amp;IF(H125,"+"&amp;H125&amp;" "&amp;База!$L$3&amp;"; ","")&amp;IF(H139+1,"+"&amp;H139+1&amp;" "&amp;База!$L$4,"")&amp;")"&amp;IF(H149,"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</v>
      </c>
      <c r="I169" s="41" t="str">
        <f>I168&amp;"[li]"&amp;$B169&amp;IF(I159,": ЛИБО ("&amp;IF(I115+1,"+"&amp;I115+1&amp;" "&amp;База!$L$2&amp;IF(I125+I139,"; ",""), "")&amp;IF(I125,"+"&amp;I125&amp;" "&amp;База!$L$3&amp;IF(I139,"; ",""), "")&amp;IF(I139,"+"&amp;I139&amp;" "&amp;База!$L$4,"")&amp;") ЛИБО ("&amp;IF(I115,"+"&amp;I115&amp;" "&amp;База!$L$2&amp;"; ","")&amp;IF(I125+1,"+"&amp;(I125+1)+I$132&amp;" "&amp;База!$L$3&amp;IF(I139,"; ",""),"")&amp;IF(I139,"+"&amp;I139&amp;" "&amp;База!$L$4,"")&amp;") ЛИБО ("&amp;IF(I115,"+"&amp;I115&amp;" "&amp;База!$L$2&amp;"; ","")&amp;IF(I125,"+"&amp;I125&amp;" "&amp;База!$L$3&amp;"; ","")&amp;IF(I139+1,"+"&amp;I139+1&amp;" "&amp;База!$L$4,"")&amp;")"&amp;IF(I149,"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</v>
      </c>
      <c r="J169" s="41" t="str">
        <f>J168&amp;"[li]"&amp;$B169&amp;IF(J159,": ЛИБО ("&amp;IF(J115+1,"+"&amp;J115+1&amp;" "&amp;База!$L$2&amp;IF(J125+J139,"; ",""), "")&amp;IF(J125,"+"&amp;J125&amp;" "&amp;База!$L$3&amp;IF(J139,"; ",""), "")&amp;IF(J139,"+"&amp;J139&amp;" "&amp;База!$L$4,"")&amp;") ЛИБО ("&amp;IF(J115,"+"&amp;J115&amp;" "&amp;База!$L$2&amp;"; ","")&amp;IF(J125+1,"+"&amp;(J125+1)+J$132&amp;" "&amp;База!$L$3&amp;IF(J139,"; ",""),"")&amp;IF(J139,"+"&amp;J139&amp;" "&amp;База!$L$4,"")&amp;") ЛИБО ("&amp;IF(J115,"+"&amp;J115&amp;" "&amp;База!$L$2&amp;"; ","")&amp;IF(J125,"+"&amp;J125&amp;" "&amp;База!$L$3&amp;"; ","")&amp;IF(J139+1,"+"&amp;J139+1&amp;" "&amp;База!$L$4,"")&amp;")"&amp;IF(J149," ЛИБО (+1 нас.)", "")," - не обрабатываются")&amp;"[/li]"</f>
        <v>[ul][li]холмы: ЛИБО (+2 Мл; +1 Мн) ЛИБО (+1 Мл; +4 Мн) ЛИБО (+1 Мл; +1 Мн; +1 ОН)[/li][li]равнины и луга: ЛИБО (+1 Мл; +1 Мн) ЛИБО (+4 Мн) ЛИБО (+1 Мн; +1 ОН) ЛИБО (+1 нас.)[/li]</v>
      </c>
      <c r="K169" s="41" t="str">
        <f>K168&amp;"[li]"&amp;$B169&amp;IF(K159,": ЛИБО ("&amp;IF(K115+1,"+"&amp;K115+1&amp;" "&amp;База!$L$2&amp;IF(K125+K139,"; ",""), "")&amp;IF(K125,"+"&amp;K125&amp;" "&amp;База!$L$3&amp;IF(K139,"; ",""), "")&amp;IF(K139,"+"&amp;K139&amp;" "&amp;База!$L$4,"")&amp;") ЛИБО ("&amp;IF(K115,"+"&amp;K115&amp;" "&amp;База!$L$2&amp;"; ","")&amp;IF(K125+1,"+"&amp;K125+1&amp;" "&amp;База!$L$3&amp;IF(K139,"; ",""),"")&amp;IF(K139,"+"&amp;K139&amp;" "&amp;База!$L$4,"")&amp;") ЛИБО ("&amp;IF(K115,"+"&amp;K115&amp;" "&amp;База!$L$2&amp;"; ","")&amp;IF(K125,"+"&amp;K125&amp;" "&amp;База!$L$3&amp;"; ","")&amp;IF(K139+1,"+"&amp;K139+1&amp;" "&amp;База!$L$4,"")&amp;")"&amp;IF(K149,"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</v>
      </c>
    </row>
    <row r="170" spans="2:16" x14ac:dyDescent="0.25">
      <c r="B170" s="39" t="str">
        <f t="shared" si="39"/>
        <v>лес</v>
      </c>
      <c r="D170" s="41" t="str">
        <f>D169&amp;"[li]"&amp;$B170&amp;IF(D160,": ЛИБО ("&amp;IF(D116+1,"+"&amp;D116+1&amp;" "&amp;База!$L$2&amp;IF(D126+D140,"; ",""), "")&amp;IF(D126,"+"&amp;D126&amp;" "&amp;База!$L$3&amp;IF(D140,"; ",""), "")&amp;IF(D140,"+"&amp;D140&amp;" "&amp;База!$L$4,"")&amp;") ЛИБО ("&amp;IF(D116,"+"&amp;D116&amp;" "&amp;База!$L$2&amp;"; ","")&amp;IF(D126+1,"+"&amp;(D126+1)+D$132&amp;" "&amp;База!$L$3&amp;IF(D140,"; ",""),"")&amp;IF(D140,"+"&amp;D140&amp;" "&amp;База!$L$4,"")&amp;") ЛИБО ("&amp;IF(D116,"+"&amp;D116&amp;" "&amp;База!$L$2&amp;"; ","")&amp;IF(D126,"+"&amp;D126&amp;" "&amp;База!$L$3&amp;"; ","")&amp;IF(D140+1,"+"&amp;D140+1&amp;" "&amp;База!$L$4,"")&amp;")"&amp;IF(D150,"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</v>
      </c>
      <c r="E170" s="41" t="str">
        <f>E169&amp;"[li]"&amp;$B170&amp;IF(E160,": ЛИБО ("&amp;IF(E116+1,"+"&amp;E116+1&amp;" "&amp;База!$L$2&amp;IF(E126+E140,"; ",""), "")&amp;IF(E126,"+"&amp;E126&amp;" "&amp;База!$L$3&amp;IF(E140,"; ",""), "")&amp;IF(E140,"+"&amp;E140&amp;" "&amp;База!$L$4,"")&amp;") ЛИБО ("&amp;IF(E116,"+"&amp;E116&amp;" "&amp;База!$L$2&amp;"; ","")&amp;IF(E126+1,"+"&amp;(E126+1)+E$132&amp;" "&amp;База!$L$3&amp;IF(E140,"; ",""),"")&amp;IF(E140,"+"&amp;E140&amp;" "&amp;База!$L$4,"")&amp;") ЛИБО ("&amp;IF(E116,"+"&amp;E116&amp;" "&amp;База!$L$2&amp;"; ","")&amp;IF(E126,"+"&amp;E126&amp;" "&amp;База!$L$3&amp;"; ","")&amp;IF(E140+1,"+"&amp;E140+1&amp;" "&amp;База!$L$4,"")&amp;")"&amp;IF(E150,"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</v>
      </c>
      <c r="F170" s="41" t="str">
        <f>F169&amp;"[li]"&amp;$B170&amp;IF(F160,": ЛИБО ("&amp;IF(F116+1,"+"&amp;F116+1&amp;" "&amp;База!$L$2&amp;IF(F126+F140,"; ",""), "")&amp;IF(F126,"+"&amp;F126&amp;" "&amp;База!$L$3&amp;IF(F140,"; ",""), "")&amp;IF(F140,"+"&amp;F140&amp;" "&amp;База!$L$4,"")&amp;") ЛИБО ("&amp;IF(F116,"+"&amp;F116&amp;" "&amp;База!$L$2&amp;"; ","")&amp;IF(F126+1,"+"&amp;(F126+1)+F$132&amp;" "&amp;База!$L$3&amp;IF(F140,"; ",""),"")&amp;IF(F140,"+"&amp;F140&amp;" "&amp;База!$L$4,"")&amp;") ЛИБО ("&amp;IF(F116,"+"&amp;F116&amp;" "&amp;База!$L$2&amp;"; ","")&amp;IF(F126,"+"&amp;F126&amp;" "&amp;База!$L$3&amp;"; ","")&amp;IF(F140+1,"+"&amp;F140+1&amp;" "&amp;База!$L$4,"")&amp;")"&amp;IF(F150,"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</v>
      </c>
      <c r="G170" s="41" t="str">
        <f>G169&amp;"[li]"&amp;$B170&amp;IF(G160,": ЛИБО ("&amp;IF(G116+1,"+"&amp;G116+1&amp;" "&amp;База!$L$2&amp;IF(G126+G140,"; ",""), "")&amp;IF(G126,"+"&amp;G126&amp;" "&amp;База!$L$3&amp;IF(G140,"; ",""), "")&amp;IF(G140,"+"&amp;G140&amp;" "&amp;База!$L$4,"")&amp;") ЛИБО ("&amp;IF(G116,"+"&amp;G116&amp;" "&amp;База!$L$2&amp;"; ","")&amp;IF(G126+1,"+"&amp;(G126+1)+G$132&amp;" "&amp;База!$L$3&amp;IF(G140,"; ",""),"")&amp;IF(G140,"+"&amp;G140&amp;" "&amp;База!$L$4,"")&amp;") ЛИБО ("&amp;IF(G116,"+"&amp;G116&amp;" "&amp;База!$L$2&amp;"; ","")&amp;IF(G126,"+"&amp;G126&amp;" "&amp;База!$L$3&amp;"; ","")&amp;IF(G140+1,"+"&amp;G140+1&amp;" "&amp;База!$L$4,"")&amp;")"&amp;IF(G150,"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</v>
      </c>
      <c r="H170" s="41" t="str">
        <f>H169&amp;"[li]"&amp;$B170&amp;IF(H160,": ЛИБО ("&amp;IF(H116+1,"+"&amp;H116+1&amp;" "&amp;База!$L$2&amp;IF(H126+H140,"; ",""), "")&amp;IF(H126,"+"&amp;H126&amp;" "&amp;База!$L$3&amp;IF(H140,"; ",""), "")&amp;IF(H140,"+"&amp;H140&amp;" "&amp;База!$L$4,"")&amp;") ЛИБО ("&amp;IF(H116,"+"&amp;H116&amp;" "&amp;База!$L$2&amp;"; ","")&amp;IF(H126+1,"+"&amp;(H126+1)+H$132&amp;" "&amp;База!$L$3&amp;IF(H140,"; ",""),"")&amp;IF(H140,"+"&amp;H140&amp;" "&amp;База!$L$4,"")&amp;") ЛИБО ("&amp;IF(H116,"+"&amp;H116&amp;" "&amp;База!$L$2&amp;"; ","")&amp;IF(H126,"+"&amp;H126&amp;" "&amp;База!$L$3&amp;"; ","")&amp;IF(H140+1,"+"&amp;H140+1&amp;" "&amp;База!$L$4,"")&amp;")"&amp;IF(H150,"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</v>
      </c>
      <c r="I170" s="41" t="str">
        <f>I169&amp;"[li]"&amp;$B170&amp;IF(I160,": ЛИБО ("&amp;IF(I116+1,"+"&amp;I116+1&amp;" "&amp;База!$L$2&amp;IF(I126+I140,"; ",""), "")&amp;IF(I126,"+"&amp;I126&amp;" "&amp;База!$L$3&amp;IF(I140,"; ",""), "")&amp;IF(I140,"+"&amp;I140&amp;" "&amp;База!$L$4,"")&amp;") ЛИБО ("&amp;IF(I116,"+"&amp;I116&amp;" "&amp;База!$L$2&amp;"; ","")&amp;IF(I126+1,"+"&amp;(I126+1)+I$132&amp;" "&amp;База!$L$3&amp;IF(I140,"; ",""),"")&amp;IF(I140,"+"&amp;I140&amp;" "&amp;База!$L$4,"")&amp;") ЛИБО ("&amp;IF(I116,"+"&amp;I116&amp;" "&amp;База!$L$2&amp;"; ","")&amp;IF(I126,"+"&amp;I126&amp;" "&amp;База!$L$3&amp;"; ","")&amp;IF(I140+1,"+"&amp;I140+1&amp;" "&amp;База!$L$4,"")&amp;")"&amp;IF(I150,"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</v>
      </c>
      <c r="J170" s="41" t="str">
        <f>J169&amp;"[li]"&amp;$B170&amp;IF(J160,": ЛИБО ("&amp;IF(J116+1,"+"&amp;J116+1&amp;" "&amp;База!$L$2&amp;IF(J126+J140,"; ",""), "")&amp;IF(J126,"+"&amp;J126&amp;" "&amp;База!$L$3&amp;IF(J140,"; ",""), "")&amp;IF(J140,"+"&amp;J140&amp;" "&amp;База!$L$4,"")&amp;") ЛИБО ("&amp;IF(J116,"+"&amp;J116&amp;" "&amp;База!$L$2&amp;"; ","")&amp;IF(J126+1,"+"&amp;(J126+1)+J$132&amp;" "&amp;База!$L$3&amp;IF(J140,"; ",""),"")&amp;IF(J140,"+"&amp;J140&amp;" "&amp;База!$L$4,"")&amp;") ЛИБО ("&amp;IF(J116,"+"&amp;J116&amp;" "&amp;База!$L$2&amp;"; ","")&amp;IF(J126,"+"&amp;J126&amp;" "&amp;База!$L$3&amp;"; ","")&amp;IF(J140+1,"+"&amp;J140+1&amp;" "&amp;База!$L$4,"")&amp;")"&amp;IF(J150," ЛИБО (+1 нас.)", "")," - не обрабатываются")&amp;"[/li]"</f>
        <v>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</v>
      </c>
      <c r="K170" s="41" t="str">
        <f>K169&amp;"[li]"&amp;$B170&amp;IF(K160,": ЛИБО ("&amp;IF(K116+1,"+"&amp;K116+1&amp;" "&amp;База!$L$2&amp;IF(K126+K140,"; ",""), "")&amp;IF(K126,"+"&amp;K126&amp;" "&amp;База!$L$3&amp;IF(K140,"; ",""), "")&amp;IF(K140,"+"&amp;K140&amp;" "&amp;База!$L$4,"")&amp;") ЛИБО ("&amp;IF(K116,"+"&amp;K116&amp;" "&amp;База!$L$2&amp;"; ","")&amp;IF(K126+1,"+"&amp;K126+1&amp;" "&amp;База!$L$3&amp;IF(K140,"; ",""),"")&amp;IF(K140,"+"&amp;K140&amp;" "&amp;База!$L$4,"")&amp;") ЛИБО ("&amp;IF(K116,"+"&amp;K116&amp;" "&amp;База!$L$2&amp;"; ","")&amp;IF(K126,"+"&amp;K126&amp;" "&amp;База!$L$3&amp;"; ","")&amp;IF(K140+1,"+"&amp;K140+1&amp;" "&amp;База!$L$4,"")&amp;")"&amp;IF(K150,"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</v>
      </c>
    </row>
    <row r="171" spans="2:16" x14ac:dyDescent="0.25">
      <c r="B171" s="39" t="str">
        <f t="shared" si="39"/>
        <v>джунгли</v>
      </c>
      <c r="D171" s="41" t="str">
        <f>D170&amp;"[li]"&amp;$B171&amp;IF(D161,": ЛИБО ("&amp;IF(D117+1,"+"&amp;D117+1&amp;" "&amp;База!$L$2&amp;IF(D127+D141,"; ",""), "")&amp;IF(D127,"+"&amp;D127&amp;" "&amp;База!$L$3&amp;IF(D141,"; ",""), "")&amp;IF(D141,"+"&amp;D141&amp;" "&amp;База!$L$4,"")&amp;") ЛИБО ("&amp;IF(D117,"+"&amp;D117&amp;" "&amp;База!$L$2&amp;"; ","")&amp;IF(D127+1,"+"&amp;(D127+1)+D$132&amp;" "&amp;База!$L$3&amp;IF(D141,"; ",""),"")&amp;IF(D141,"+"&amp;D141&amp;" "&amp;База!$L$4,"")&amp;") ЛИБО ("&amp;IF(D117,"+"&amp;D117&amp;" "&amp;База!$L$2&amp;"; ","")&amp;IF(D127,"+"&amp;D127&amp;" "&amp;База!$L$3&amp;"; ","")&amp;IF(D141+1,"+"&amp;D141+1&amp;" "&amp;База!$L$4,"")&amp;")"&amp;IF(D151,"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</v>
      </c>
      <c r="E171" s="41" t="str">
        <f>E170&amp;"[li]"&amp;$B171&amp;IF(E161,": ЛИБО ("&amp;IF(E117+1,"+"&amp;E117+1&amp;" "&amp;База!$L$2&amp;IF(E127+E141,"; ",""), "")&amp;IF(E127,"+"&amp;E127&amp;" "&amp;База!$L$3&amp;IF(E141,"; ",""), "")&amp;IF(E141,"+"&amp;E141&amp;" "&amp;База!$L$4,"")&amp;") ЛИБО ("&amp;IF(E117,"+"&amp;E117&amp;" "&amp;База!$L$2&amp;"; ","")&amp;IF(E127+1,"+"&amp;(E127+1)+E$132&amp;" "&amp;База!$L$3&amp;IF(E141,"; ",""),"")&amp;IF(E141,"+"&amp;E141&amp;" "&amp;База!$L$4,"")&amp;") ЛИБО ("&amp;IF(E117,"+"&amp;E117&amp;" "&amp;База!$L$2&amp;"; ","")&amp;IF(E127,"+"&amp;E127&amp;" "&amp;База!$L$3&amp;"; ","")&amp;IF(E141+1,"+"&amp;E141+1&amp;" "&amp;База!$L$4,"")&amp;")"&amp;IF(E151,"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Мл) ЛИБО (+1 Мл; +2 Мн) ЛИБО (+1 Мл; +1 ОН) ЛИБО (+1 нас.)[/li]</v>
      </c>
      <c r="F171" s="41" t="str">
        <f>F170&amp;"[li]"&amp;$B171&amp;IF(F161,": ЛИБО ("&amp;IF(F117+1,"+"&amp;F117+1&amp;" "&amp;База!$L$2&amp;IF(F127+F141,"; ",""), "")&amp;IF(F127,"+"&amp;F127&amp;" "&amp;База!$L$3&amp;IF(F141,"; ",""), "")&amp;IF(F141,"+"&amp;F141&amp;" "&amp;База!$L$4,"")&amp;") ЛИБО ("&amp;IF(F117,"+"&amp;F117&amp;" "&amp;База!$L$2&amp;"; ","")&amp;IF(F127+1,"+"&amp;(F127+1)+F$132&amp;" "&amp;База!$L$3&amp;IF(F141,"; ",""),"")&amp;IF(F141,"+"&amp;F141&amp;" "&amp;База!$L$4,"")&amp;") ЛИБО ("&amp;IF(F117,"+"&amp;F117&amp;" "&amp;База!$L$2&amp;"; ","")&amp;IF(F127,"+"&amp;F127&amp;" "&amp;База!$L$3&amp;"; ","")&amp;IF(F141+1,"+"&amp;F141+1&amp;" "&amp;База!$L$4,"")&amp;")"&amp;IF(F151,"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ОН)[/li][li]джунгли: ЛИБО (+2 Мл) ЛИБО (+1 Мл; +1 Мн) ЛИБО (+1 Мл; +1 ОН)[/li]</v>
      </c>
      <c r="G171" s="41" t="str">
        <f>G170&amp;"[li]"&amp;$B171&amp;IF(G161,": ЛИБО ("&amp;IF(G117+1,"+"&amp;G117+1&amp;" "&amp;База!$L$2&amp;IF(G127+G141,"; ",""), "")&amp;IF(G127,"+"&amp;G127&amp;" "&amp;База!$L$3&amp;IF(G141,"; ",""), "")&amp;IF(G141,"+"&amp;G141&amp;" "&amp;База!$L$4,"")&amp;") ЛИБО ("&amp;IF(G117,"+"&amp;G117&amp;" "&amp;База!$L$2&amp;"; ","")&amp;IF(G127+1,"+"&amp;(G127+1)+G$132&amp;" "&amp;База!$L$3&amp;IF(G141,"; ",""),"")&amp;IF(G141,"+"&amp;G141&amp;" "&amp;База!$L$4,"")&amp;") ЛИБО ("&amp;IF(G117,"+"&amp;G117&amp;" "&amp;База!$L$2&amp;"; ","")&amp;IF(G127,"+"&amp;G127&amp;" "&amp;База!$L$3&amp;"; ","")&amp;IF(G141+1,"+"&amp;G141+1&amp;" "&amp;База!$L$4,"")&amp;")"&amp;IF(G151,"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</v>
      </c>
      <c r="H171" s="41" t="str">
        <f>H170&amp;"[li]"&amp;$B171&amp;IF(H161,": ЛИБО ("&amp;IF(H117+1,"+"&amp;H117+1&amp;" "&amp;База!$L$2&amp;IF(H127+H141,"; ",""), "")&amp;IF(H127,"+"&amp;H127&amp;" "&amp;База!$L$3&amp;IF(H141,"; ",""), "")&amp;IF(H141,"+"&amp;H141&amp;" "&amp;База!$L$4,"")&amp;") ЛИБО ("&amp;IF(H117,"+"&amp;H117&amp;" "&amp;База!$L$2&amp;"; ","")&amp;IF(H127+1,"+"&amp;(H127+1)+H$132&amp;" "&amp;База!$L$3&amp;IF(H141,"; ",""),"")&amp;IF(H141,"+"&amp;H141&amp;" "&amp;База!$L$4,"")&amp;") ЛИБО ("&amp;IF(H117,"+"&amp;H117&amp;" "&amp;База!$L$2&amp;"; ","")&amp;IF(H127,"+"&amp;H127&amp;" "&amp;База!$L$3&amp;"; ","")&amp;IF(H141+1,"+"&amp;H141+1&amp;" "&amp;База!$L$4,"")&amp;")"&amp;IF(H151,"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</v>
      </c>
      <c r="I171" s="41" t="str">
        <f>I170&amp;"[li]"&amp;$B171&amp;IF(I161,": ЛИБО ("&amp;IF(I117+1,"+"&amp;I117+1&amp;" "&amp;База!$L$2&amp;IF(I127+I141,"; ",""), "")&amp;IF(I127,"+"&amp;I127&amp;" "&amp;База!$L$3&amp;IF(I141,"; ",""), "")&amp;IF(I141,"+"&amp;I141&amp;" "&amp;База!$L$4,"")&amp;") ЛИБО ("&amp;IF(I117,"+"&amp;I117&amp;" "&amp;База!$L$2&amp;"; ","")&amp;IF(I127+1,"+"&amp;(I127+1)+I$132&amp;" "&amp;База!$L$3&amp;IF(I141,"; ",""),"")&amp;IF(I141,"+"&amp;I141&amp;" "&amp;База!$L$4,"")&amp;") ЛИБО ("&amp;IF(I117,"+"&amp;I117&amp;" "&amp;База!$L$2&amp;"; ","")&amp;IF(I127,"+"&amp;I127&amp;" "&amp;База!$L$3&amp;"; ","")&amp;IF(I141+1,"+"&amp;I141+1&amp;" "&amp;База!$L$4,"")&amp;")"&amp;IF(I151,"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нас.)[/li][li]джунгли: ЛИБО (+2 Мл; +1 ОН) ЛИБО (+1 Мл; +2 Мн; +1 ОН) ЛИБО (+1 Мл; +2 ОН) ЛИБО (+1 нас.)[/li]</v>
      </c>
      <c r="J171" s="41" t="str">
        <f>J170&amp;"[li]"&amp;$B171&amp;IF(J161,": ЛИБО ("&amp;IF(J117+1,"+"&amp;J117+1&amp;" "&amp;База!$L$2&amp;IF(J127+J141,"; ",""), "")&amp;IF(J127,"+"&amp;J127&amp;" "&amp;База!$L$3&amp;IF(J141,"; ",""), "")&amp;IF(J141,"+"&amp;J141&amp;" "&amp;База!$L$4,"")&amp;") ЛИБО ("&amp;IF(J117,"+"&amp;J117&amp;" "&amp;База!$L$2&amp;"; ","")&amp;IF(J127+1,"+"&amp;(J127+1)+J$132&amp;" "&amp;База!$L$3&amp;IF(J141,"; ",""),"")&amp;IF(J141,"+"&amp;J141&amp;" "&amp;База!$L$4,"")&amp;") ЛИБО ("&amp;IF(J117,"+"&amp;J117&amp;" "&amp;База!$L$2&amp;"; ","")&amp;IF(J127,"+"&amp;J127&amp;" "&amp;База!$L$3&amp;"; ","")&amp;IF(J141+1,"+"&amp;J141+1&amp;" "&amp;База!$L$4,"")&amp;")"&amp;IF(J151," ЛИБО (+1 нас.)", "")," - не обрабатываются")&amp;"[/li]"</f>
        <v>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нас.)[/li][li]джунгли: ЛИБО (+2 Мл; +1 Мн) ЛИБО (+1 Мл; +4 Мн) ЛИБО (+1 Мл; +1 Мн; +1 ОН) ЛИБО (+1 нас.)[/li]</v>
      </c>
      <c r="K171" s="41" t="str">
        <f>K170&amp;"[li]"&amp;$B171&amp;IF(K161,": ЛИБО ("&amp;IF(K117+1,"+"&amp;K117+1&amp;" "&amp;База!$L$2&amp;IF(K127+K141,"; ",""), "")&amp;IF(K127,"+"&amp;K127&amp;" "&amp;База!$L$3&amp;IF(K141,"; ",""), "")&amp;IF(K141,"+"&amp;K141&amp;" "&amp;База!$L$4,"")&amp;") ЛИБО ("&amp;IF(K117,"+"&amp;K117&amp;" "&amp;База!$L$2&amp;"; ","")&amp;IF(K127+1,"+"&amp;K127+1&amp;" "&amp;База!$L$3&amp;IF(K141,"; ",""),"")&amp;IF(K141,"+"&amp;K141&amp;" "&amp;База!$L$4,"")&amp;") ЛИБО ("&amp;IF(K117,"+"&amp;K117&amp;" "&amp;База!$L$2&amp;"; ","")&amp;IF(K127,"+"&amp;K127&amp;" "&amp;База!$L$3&amp;"; ","")&amp;IF(K141+1,"+"&amp;K141+1&amp;" "&amp;База!$L$4,"")&amp;")"&amp;IF(K151,"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нас.)[/li][li]джунгли: ЛИБО (+2 Мл) ЛИБО (+1 Мл; +1 Мн) ЛИБО (+1 Мл; +1 ОН) ЛИБО (+1 нас.)[/li]</v>
      </c>
    </row>
    <row r="172" spans="2:16" x14ac:dyDescent="0.25">
      <c r="B172" s="39" t="str">
        <f t="shared" si="39"/>
        <v>пустыни</v>
      </c>
      <c r="D172" s="41" t="str">
        <f>D171&amp;"[li]"&amp;$B172&amp;IF(D162,": ЛИБО ("&amp;IF(D118+1,"+"&amp;D118+1&amp;" "&amp;База!$L$2&amp;IF(D128+D142,"; ",""), "")&amp;IF(D128,"+"&amp;D128&amp;" "&amp;База!$L$3&amp;IF(D142,"; ",""), "")&amp;IF(D142,"+"&amp;D142&amp;" "&amp;База!$L$4,"")&amp;") ЛИБО ("&amp;IF(D118,"+"&amp;D118&amp;" "&amp;База!$L$2&amp;"; ","")&amp;IF(D128+1,"+"&amp;(D128+1)+D$132&amp;" "&amp;База!$L$3&amp;IF(D142,"; ",""),"")&amp;IF(D142,"+"&amp;D142&amp;" "&amp;База!$L$4,"")&amp;") ЛИБО ("&amp;IF(D118,"+"&amp;D118&amp;" "&amp;База!$L$2&amp;"; ","")&amp;IF(D128,"+"&amp;D128&amp;" "&amp;База!$L$3&amp;"; ","")&amp;IF(D142+1,"+"&amp;D142+1&amp;" "&amp;База!$L$4,"")&amp;")"&amp;IF(D152,"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</v>
      </c>
      <c r="E172" s="41" t="str">
        <f>E171&amp;"[li]"&amp;$B172&amp;IF(E162,": ЛИБО ("&amp;IF(E118+1,"+"&amp;E118+1&amp;" "&amp;База!$L$2&amp;IF(E128+E142,"; ",""), "")&amp;IF(E128,"+"&amp;E128&amp;" "&amp;База!$L$3&amp;IF(E142,"; ",""), "")&amp;IF(E142,"+"&amp;E142&amp;" "&amp;База!$L$4,"")&amp;") ЛИБО ("&amp;IF(E118,"+"&amp;E118&amp;" "&amp;База!$L$2&amp;"; ","")&amp;IF(E128+1,"+"&amp;(E128+1)+E$132&amp;" "&amp;База!$L$3&amp;IF(E142,"; ",""),"")&amp;IF(E142,"+"&amp;E142&amp;" "&amp;База!$L$4,"")&amp;") ЛИБО ("&amp;IF(E118,"+"&amp;E118&amp;" "&amp;База!$L$2&amp;"; ","")&amp;IF(E128,"+"&amp;E128&amp;" "&amp;База!$L$3&amp;"; ","")&amp;IF(E142+1,"+"&amp;E142+1&amp;" "&amp;База!$L$4,"")&amp;")"&amp;IF(E152,"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Мл) ЛИБО (+1 Мл; +2 Мн) ЛИБО (+1 Мл; +1 ОН) ЛИБО (+1 нас.)[/li][li]пустыни: ЛИБО (+1 Мл) ЛИБО (+2 Мн) ЛИБО (+1 ОН)[/li]</v>
      </c>
      <c r="F172" s="41" t="str">
        <f>F171&amp;"[li]"&amp;$B172&amp;IF(F162,": ЛИБО ("&amp;IF(F118+1,"+"&amp;F118+1&amp;" "&amp;База!$L$2&amp;IF(F128+F142,"; ",""), "")&amp;IF(F128,"+"&amp;F128&amp;" "&amp;База!$L$3&amp;IF(F142,"; ",""), "")&amp;IF(F142,"+"&amp;F142&amp;" "&amp;База!$L$4,"")&amp;") ЛИБО ("&amp;IF(F118,"+"&amp;F118&amp;" "&amp;База!$L$2&amp;"; ","")&amp;IF(F128+1,"+"&amp;(F128+1)+F$132&amp;" "&amp;База!$L$3&amp;IF(F142,"; ",""),"")&amp;IF(F142,"+"&amp;F142&amp;" "&amp;База!$L$4,"")&amp;") ЛИБО ("&amp;IF(F118,"+"&amp;F118&amp;" "&amp;База!$L$2&amp;"; ","")&amp;IF(F128,"+"&amp;F128&amp;" "&amp;База!$L$3&amp;"; ","")&amp;IF(F142+1,"+"&amp;F142+1&amp;" "&amp;База!$L$4,"")&amp;")"&amp;IF(F152,"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ОН)[/li][li]джунгли: ЛИБО (+2 Мл) ЛИБО (+1 Мл; +1 Мн) ЛИБО (+1 Мл; +1 ОН)[/li][li]пустыни: ЛИБО (+1 Мл) ЛИБО (+1 Мн) ЛИБО (+1 ОН)[/li]</v>
      </c>
      <c r="G172" s="41" t="str">
        <f>G171&amp;"[li]"&amp;$B172&amp;IF(G162,": ЛИБО ("&amp;IF(G118+1,"+"&amp;G118+1&amp;" "&amp;База!$L$2&amp;IF(G128+G142,"; ",""), "")&amp;IF(G128,"+"&amp;G128&amp;" "&amp;База!$L$3&amp;IF(G142,"; ",""), "")&amp;IF(G142,"+"&amp;G142&amp;" "&amp;База!$L$4,"")&amp;") ЛИБО ("&amp;IF(G118,"+"&amp;G118&amp;" "&amp;База!$L$2&amp;"; ","")&amp;IF(G128+1,"+"&amp;(G128+1)+G$132&amp;" "&amp;База!$L$3&amp;IF(G142,"; ",""),"")&amp;IF(G142,"+"&amp;G142&amp;" "&amp;База!$L$4,"")&amp;") ЛИБО ("&amp;IF(G118,"+"&amp;G118&amp;" "&amp;База!$L$2&amp;"; ","")&amp;IF(G128,"+"&amp;G128&amp;" "&amp;База!$L$3&amp;"; ","")&amp;IF(G142+1,"+"&amp;G142+1&amp;" "&amp;База!$L$4,"")&amp;")"&amp;IF(G152,"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</v>
      </c>
      <c r="H172" s="41" t="str">
        <f>H171&amp;"[li]"&amp;$B172&amp;IF(H162,": ЛИБО ("&amp;IF(H118+1,"+"&amp;H118+1&amp;" "&amp;База!$L$2&amp;IF(H128+H142,"; ",""), "")&amp;IF(H128,"+"&amp;H128&amp;" "&amp;База!$L$3&amp;IF(H142,"; ",""), "")&amp;IF(H142,"+"&amp;H142&amp;" "&amp;База!$L$4,"")&amp;") ЛИБО ("&amp;IF(H118,"+"&amp;H118&amp;" "&amp;База!$L$2&amp;"; ","")&amp;IF(H128+1,"+"&amp;(H128+1)+H$132&amp;" "&amp;База!$L$3&amp;IF(H142,"; ",""),"")&amp;IF(H142,"+"&amp;H142&amp;" "&amp;База!$L$4,"")&amp;") ЛИБО ("&amp;IF(H118,"+"&amp;H118&amp;" "&amp;База!$L$2&amp;"; ","")&amp;IF(H128,"+"&amp;H128&amp;" "&amp;База!$L$3&amp;"; ","")&amp;IF(H142+1,"+"&amp;H142+1&amp;" "&amp;База!$L$4,"")&amp;")"&amp;IF(H152,"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</v>
      </c>
      <c r="I172" s="41" t="str">
        <f>I171&amp;"[li]"&amp;$B172&amp;IF(I162,": ЛИБО ("&amp;IF(I118+1,"+"&amp;I118+1&amp;" "&amp;База!$L$2&amp;IF(I128+I142,"; ",""), "")&amp;IF(I128,"+"&amp;I128&amp;" "&amp;База!$L$3&amp;IF(I142,"; ",""), "")&amp;IF(I142,"+"&amp;I142&amp;" "&amp;База!$L$4,"")&amp;") ЛИБО ("&amp;IF(I118,"+"&amp;I118&amp;" "&amp;База!$L$2&amp;"; ","")&amp;IF(I128+1,"+"&amp;(I128+1)+I$132&amp;" "&amp;База!$L$3&amp;IF(I142,"; ",""),"")&amp;IF(I142,"+"&amp;I142&amp;" "&amp;База!$L$4,"")&amp;") ЛИБО ("&amp;IF(I118,"+"&amp;I118&amp;" "&amp;База!$L$2&amp;"; ","")&amp;IF(I128,"+"&amp;I128&amp;" "&amp;База!$L$3&amp;"; ","")&amp;IF(I142+1,"+"&amp;I142+1&amp;" "&amp;База!$L$4,"")&amp;")"&amp;IF(I152,"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нас.)[/li][li]джунгли: ЛИБО (+2 Мл; +1 ОН) ЛИБО (+1 Мл; +2 Мн; +1 ОН) ЛИБО (+1 Мл; +2 ОН) ЛИБО (+1 нас.)[/li][li]пустыни: ЛИБО (+1 Мл) ЛИБО (+2 Мн) ЛИБО (+1 ОН)[/li]</v>
      </c>
      <c r="J172" s="41" t="str">
        <f>J171&amp;"[li]"&amp;$B172&amp;IF(J162,": ЛИБО ("&amp;IF(J118+1,"+"&amp;J118+1&amp;" "&amp;База!$L$2&amp;IF(J128+J142,"; ",""), "")&amp;IF(J128,"+"&amp;J128&amp;" "&amp;База!$L$3&amp;IF(J142,"; ",""), "")&amp;IF(J142,"+"&amp;J142&amp;" "&amp;База!$L$4,"")&amp;") ЛИБО ("&amp;IF(J118,"+"&amp;J118&amp;" "&amp;База!$L$2&amp;"; ","")&amp;IF(J128+1,"+"&amp;(J128+1)+J$132&amp;" "&amp;База!$L$3&amp;IF(J142,"; ",""),"")&amp;IF(J142,"+"&amp;J142&amp;" "&amp;База!$L$4,"")&amp;") ЛИБО ("&amp;IF(J118,"+"&amp;J118&amp;" "&amp;База!$L$2&amp;"; ","")&amp;IF(J128,"+"&amp;J128&amp;" "&amp;База!$L$3&amp;"; ","")&amp;IF(J142+1,"+"&amp;J142+1&amp;" "&amp;База!$L$4,"")&amp;")"&amp;IF(J152," ЛИБО (+1 нас.)", "")," - не обрабатываются")&amp;"[/li]"</f>
        <v>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нас.)[/li][li]джунгли: ЛИБО (+2 Мл; +1 Мн) ЛИБО (+1 Мл; +4 Мн) ЛИБО (+1 Мл; +1 Мн; +1 ОН) ЛИБО (+1 нас.)[/li][li]пустыни: ЛИБО (+1 Мл; +1 Мн) ЛИБО (+4 Мн) ЛИБО (+1 Мн; +1 ОН)[/li]</v>
      </c>
      <c r="K172" s="41" t="str">
        <f>K171&amp;"[li]"&amp;$B172&amp;IF(K162,": ЛИБО ("&amp;IF(K118+1,"+"&amp;K118+1&amp;" "&amp;База!$L$2&amp;IF(K128+K142,"; ",""), "")&amp;IF(K128,"+"&amp;K128&amp;" "&amp;База!$L$3&amp;IF(K142,"; ",""), "")&amp;IF(K142,"+"&amp;K142&amp;" "&amp;База!$L$4,"")&amp;") ЛИБО ("&amp;IF(K118,"+"&amp;K118&amp;" "&amp;База!$L$2&amp;"; ","")&amp;IF(K128+1,"+"&amp;K128+1&amp;" "&amp;База!$L$3&amp;IF(K142,"; ",""),"")&amp;IF(K142,"+"&amp;K142&amp;" "&amp;База!$L$4,"")&amp;") ЛИБО ("&amp;IF(K118,"+"&amp;K118&amp;" "&amp;База!$L$2&amp;"; ","")&amp;IF(K128,"+"&amp;K128&amp;" "&amp;База!$L$3&amp;"; ","")&amp;IF(K142+1,"+"&amp;K142+1&amp;" "&amp;База!$L$4,"")&amp;")"&amp;IF(K152,"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нас.)[/li][li]джунгли: ЛИБО (+2 Мл) ЛИБО (+1 Мл; +1 Мн) ЛИБО (+1 Мл; +1 ОН) ЛИБО (+1 нас.)[/li][li]пустыни: ЛИБО (+1 Мл) ЛИБО (+1 Мн) ЛИБО (+1 ОН)[/li]</v>
      </c>
    </row>
    <row r="173" spans="2:16" x14ac:dyDescent="0.25">
      <c r="B173" s="39" t="str">
        <f t="shared" si="39"/>
        <v>арктика</v>
      </c>
      <c r="D173" s="41" t="str">
        <f>D172&amp;"[li]"&amp;$B173&amp;IF(D163,": ЛИБО ("&amp;IF(D119+1,"+"&amp;D119+1&amp;" "&amp;База!$L$2&amp;IF(D129+D143,"; ",""), "")&amp;IF(D129,"+"&amp;D129&amp;" "&amp;База!$L$3&amp;IF(D143,"; ",""), "")&amp;IF(D143,"+"&amp;D143&amp;" "&amp;База!$L$4,"")&amp;") ЛИБО ("&amp;IF(D119,"+"&amp;D119&amp;" "&amp;База!$L$2&amp;"; ","")&amp;IF(D129+1,"+"&amp;(D129+1)+D$132&amp;" "&amp;База!$L$3&amp;IF(D143,"; ",""),"")&amp;IF(D143,"+"&amp;D143&amp;" "&amp;База!$L$4,"")&amp;") ЛИБО ("&amp;IF(D119,"+"&amp;D119&amp;" "&amp;База!$L$2&amp;"; ","")&amp;IF(D129,"+"&amp;D129&amp;" "&amp;База!$L$3&amp;"; ","")&amp;IF(D143+1,"+"&amp;D143+1&amp;" "&amp;База!$L$4,"")&amp;")"&amp;IF(D153,"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</v>
      </c>
      <c r="E173" s="41" t="str">
        <f>E172&amp;"[li]"&amp;$B173&amp;IF(E163,": ЛИБО ("&amp;IF(E119+1,"+"&amp;E119+1&amp;" "&amp;База!$L$2&amp;IF(E129+E143,"; ",""), "")&amp;IF(E129,"+"&amp;E129&amp;" "&amp;База!$L$3&amp;IF(E143,"; ",""), "")&amp;IF(E143,"+"&amp;E143&amp;" "&amp;База!$L$4,"")&amp;") ЛИБО ("&amp;IF(E119,"+"&amp;E119&amp;" "&amp;База!$L$2&amp;"; ","")&amp;IF(E129+1,"+"&amp;(E129+1)+E$132&amp;" "&amp;База!$L$3&amp;IF(E143,"; ",""),"")&amp;IF(E143,"+"&amp;E143&amp;" "&amp;База!$L$4,"")&amp;") ЛИБО ("&amp;IF(E119,"+"&amp;E119&amp;" "&amp;База!$L$2&amp;"; ","")&amp;IF(E129,"+"&amp;E129&amp;" "&amp;База!$L$3&amp;"; ","")&amp;IF(E143+1,"+"&amp;E143+1&amp;" "&amp;База!$L$4,"")&amp;")"&amp;IF(E153,"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Мл) ЛИБО (+1 Мл; +2 Мн) ЛИБО (+1 Мл; +1 ОН) ЛИБО (+1 нас.)[/li][li]пустыни: ЛИБО (+1 Мл) ЛИБО (+2 Мн) ЛИБО (+1 ОН)[/li][li]арктика: ЛИБО (+1 Мл) ЛИБО (+2 Мн) ЛИБО (+1 ОН)[/li]</v>
      </c>
      <c r="F173" s="41" t="str">
        <f>F172&amp;"[li]"&amp;$B173&amp;IF(F163,": ЛИБО ("&amp;IF(F119+1,"+"&amp;F119+1&amp;" "&amp;База!$L$2&amp;IF(F129+F143,"; ",""), "")&amp;IF(F129,"+"&amp;F129&amp;" "&amp;База!$L$3&amp;IF(F143,"; ",""), "")&amp;IF(F143,"+"&amp;F143&amp;" "&amp;База!$L$4,"")&amp;") ЛИБО ("&amp;IF(F119,"+"&amp;F119&amp;" "&amp;База!$L$2&amp;"; ","")&amp;IF(F129+1,"+"&amp;(F129+1)+F$132&amp;" "&amp;База!$L$3&amp;IF(F143,"; ",""),"")&amp;IF(F143,"+"&amp;F143&amp;" "&amp;База!$L$4,"")&amp;") ЛИБО ("&amp;IF(F119,"+"&amp;F119&amp;" "&amp;База!$L$2&amp;"; ","")&amp;IF(F129,"+"&amp;F129&amp;" "&amp;База!$L$3&amp;"; ","")&amp;IF(F143+1,"+"&amp;F143+1&amp;" "&amp;База!$L$4,"")&amp;")"&amp;IF(F153,"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ОН)[/li][li]джунгли: ЛИБО (+2 Мл) ЛИБО (+1 Мл; +1 Мн) ЛИБО (+1 Мл; +1 ОН)[/li][li]пустыни: ЛИБО (+1 Мл) ЛИБО (+1 Мн) ЛИБО (+1 ОН)[/li][li]арктика: ЛИБО (+1 Мл) ЛИБО (+1 Мн) ЛИБО (+1 ОН)[/li]</v>
      </c>
      <c r="G173" s="41" t="str">
        <f>G172&amp;"[li]"&amp;$B173&amp;IF(G163,": ЛИБО ("&amp;IF(G119+1,"+"&amp;G119+1&amp;" "&amp;База!$L$2&amp;IF(G129+G143,"; ",""), "")&amp;IF(G129,"+"&amp;G129&amp;" "&amp;База!$L$3&amp;IF(G143,"; ",""), "")&amp;IF(G143,"+"&amp;G143&amp;" "&amp;База!$L$4,"")&amp;") ЛИБО ("&amp;IF(G119,"+"&amp;G119&amp;" "&amp;База!$L$2&amp;"; ","")&amp;IF(G129+1,"+"&amp;(G129+1)+G$132&amp;" "&amp;База!$L$3&amp;IF(G143,"; ",""),"")&amp;IF(G143,"+"&amp;G143&amp;" "&amp;База!$L$4,"")&amp;") ЛИБО ("&amp;IF(G119,"+"&amp;G119&amp;" "&amp;База!$L$2&amp;"; ","")&amp;IF(G129,"+"&amp;G129&amp;" "&amp;База!$L$3&amp;"; ","")&amp;IF(G143+1,"+"&amp;G143+1&amp;" "&amp;База!$L$4,"")&amp;")"&amp;IF(G153,"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</v>
      </c>
      <c r="H173" s="41" t="str">
        <f>H172&amp;"[li]"&amp;$B173&amp;IF(H163,": ЛИБО ("&amp;IF(H119+1,"+"&amp;H119+1&amp;" "&amp;База!$L$2&amp;IF(H129+H143,"; ",""), "")&amp;IF(H129,"+"&amp;H129&amp;" "&amp;База!$L$3&amp;IF(H143,"; ",""), "")&amp;IF(H143,"+"&amp;H143&amp;" "&amp;База!$L$4,"")&amp;") ЛИБО ("&amp;IF(H119,"+"&amp;H119&amp;" "&amp;База!$L$2&amp;"; ","")&amp;IF(H129+1,"+"&amp;(H129+1)+H$132&amp;" "&amp;База!$L$3&amp;IF(H143,"; ",""),"")&amp;IF(H143,"+"&amp;H143&amp;" "&amp;База!$L$4,"")&amp;") ЛИБО ("&amp;IF(H119,"+"&amp;H119&amp;" "&amp;База!$L$2&amp;"; ","")&amp;IF(H129,"+"&amp;H129&amp;" "&amp;База!$L$3&amp;"; ","")&amp;IF(H143+1,"+"&amp;H143+1&amp;" "&amp;База!$L$4,"")&amp;")"&amp;IF(H153,"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</v>
      </c>
      <c r="I173" s="41" t="str">
        <f>I172&amp;"[li]"&amp;$B173&amp;IF(I163,": ЛИБО ("&amp;IF(I119+1,"+"&amp;I119+1&amp;" "&amp;База!$L$2&amp;IF(I129+I143,"; ",""), "")&amp;IF(I129,"+"&amp;I129&amp;" "&amp;База!$L$3&amp;IF(I143,"; ",""), "")&amp;IF(I143,"+"&amp;I143&amp;" "&amp;База!$L$4,"")&amp;") ЛИБО ("&amp;IF(I119,"+"&amp;I119&amp;" "&amp;База!$L$2&amp;"; ","")&amp;IF(I129+1,"+"&amp;(I129+1)+I$132&amp;" "&amp;База!$L$3&amp;IF(I143,"; ",""),"")&amp;IF(I143,"+"&amp;I143&amp;" "&amp;База!$L$4,"")&amp;") ЛИБО ("&amp;IF(I119,"+"&amp;I119&amp;" "&amp;База!$L$2&amp;"; ","")&amp;IF(I129,"+"&amp;I129&amp;" "&amp;База!$L$3&amp;"; ","")&amp;IF(I143+1,"+"&amp;I143+1&amp;" "&amp;База!$L$4,"")&amp;")"&amp;IF(I153,"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</v>
      </c>
      <c r="J173" s="41" t="str">
        <f>J172&amp;"[li]"&amp;$B173&amp;IF(J163,": ЛИБО ("&amp;IF(J119+1,"+"&amp;J119+1&amp;" "&amp;База!$L$2&amp;IF(J129+J143,"; ",""), "")&amp;IF(J129,"+"&amp;J129&amp;" "&amp;База!$L$3&amp;IF(J143,"; ",""), "")&amp;IF(J143,"+"&amp;J143&amp;" "&amp;База!$L$4,"")&amp;") ЛИБО ("&amp;IF(J119,"+"&amp;J119&amp;" "&amp;База!$L$2&amp;"; ","")&amp;IF(J129+1,"+"&amp;(J129+1)+J$132&amp;" "&amp;База!$L$3&amp;IF(J143,"; ",""),"")&amp;IF(J143,"+"&amp;J143&amp;" "&amp;База!$L$4,"")&amp;") ЛИБО ("&amp;IF(J119,"+"&amp;J119&amp;" "&amp;База!$L$2&amp;"; ","")&amp;IF(J129,"+"&amp;J129&amp;" "&amp;База!$L$3&amp;"; ","")&amp;IF(J143+1,"+"&amp;J143+1&amp;" "&amp;База!$L$4,"")&amp;")"&amp;IF(J153," ЛИБО (+1 нас.)", "")," - не обрабатываются")&amp;"[/li]"</f>
        <v>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нас.)[/li][li]джунгли: ЛИБО (+2 Мл; +1 Мн) ЛИБО (+1 Мл; +4 Мн) ЛИБО (+1 Мл; +1 Мн; +1 ОН) ЛИБО (+1 нас.)[/li][li]пустыни: ЛИБО (+1 Мл; +1 Мн) ЛИБО (+4 Мн) ЛИБО (+1 Мн; +1 ОН)[/li][li]арктика: ЛИБО (+1 Мл; +1 Мн) ЛИБО (+4 Мн) ЛИБО (+1 Мн; +1 ОН)[/li]</v>
      </c>
      <c r="K173" s="41" t="str">
        <f>K172&amp;"[li]"&amp;$B173&amp;IF(K163,": ЛИБО ("&amp;IF(K119+1,"+"&amp;K119+1&amp;" "&amp;База!$L$2&amp;IF(K129+K143,"; ",""), "")&amp;IF(K129,"+"&amp;K129&amp;" "&amp;База!$L$3&amp;IF(K143,"; ",""), "")&amp;IF(K143,"+"&amp;K143&amp;" "&amp;База!$L$4,"")&amp;") ЛИБО ("&amp;IF(K119,"+"&amp;K119&amp;" "&amp;База!$L$2&amp;"; ","")&amp;IF(K129+1,"+"&amp;K129+1&amp;" "&amp;База!$L$3&amp;IF(K143,"; ",""),"")&amp;IF(K143,"+"&amp;K143&amp;" "&amp;База!$L$4,"")&amp;") ЛИБО ("&amp;IF(K119,"+"&amp;K119&amp;" "&amp;База!$L$2&amp;"; ","")&amp;IF(K129,"+"&amp;K129&amp;" "&amp;База!$L$3&amp;"; ","")&amp;IF(K143+1,"+"&amp;K143+1&amp;" "&amp;База!$L$4,"")&amp;")"&amp;IF(K153,"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нас.)[/li][li]джунгли: ЛИБО (+2 Мл) ЛИБО (+1 Мл; +1 Мн) ЛИБО (+1 Мл; +1 ОН) ЛИБО (+1 нас.)[/li][li]пустыни: ЛИБО (+1 Мл) ЛИБО (+1 Мн) ЛИБО (+1 ОН)[/li][li]арктика: ЛИБО (+1 Мл) ЛИБО (+1 Мн) ЛИБО (+1 ОН)[/li]</v>
      </c>
    </row>
    <row r="174" spans="2:16" x14ac:dyDescent="0.25">
      <c r="B174" s="39" t="str">
        <f t="shared" si="39"/>
        <v>моря и океаны</v>
      </c>
      <c r="D174" s="41" t="str">
        <f>D173&amp;"[li]"&amp;$B174&amp;IF(D164,": ЛИБО ("&amp;IF(D120+1,"+"&amp;D120+1&amp;" "&amp;База!$L$2&amp;IF(D130+D144,"; ",""), "")&amp;IF(D130,"+"&amp;D130&amp;" "&amp;База!$L$3&amp;IF(D144,"; ",""), "")&amp;IF(D144,"+"&amp;D144&amp;" "&amp;База!$L$4,"")&amp;") ЛИБО ("&amp;IF(D120,"+"&amp;D120&amp;" "&amp;База!$L$2&amp;"; ","")&amp;IF(D130+1,"+"&amp;(D130+1)+D$132&amp;" "&amp;База!$L$3&amp;IF(D144,"; ",""),"")&amp;IF(D144,"+"&amp;D144&amp;" "&amp;База!$L$4,"")&amp;") ЛИБО ("&amp;IF(D120,"+"&amp;D120&amp;" "&amp;База!$L$2&amp;"; ","")&amp;IF(D130,"+"&amp;D130&amp;" "&amp;База!$L$3&amp;"; ","")&amp;IF(D144+1,"+"&amp;D144+1&amp;" "&amp;База!$L$4,"")&amp;")"&amp;IF(D154,"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</v>
      </c>
      <c r="E174" s="41" t="str">
        <f>E173&amp;"[li]"&amp;$B174&amp;IF(E164,": ЛИБО ("&amp;IF(E120+1,"+"&amp;E120+1&amp;" "&amp;База!$L$2&amp;IF(E130+E144,"; ",""), "")&amp;IF(E130,"+"&amp;E130&amp;" "&amp;База!$L$3&amp;IF(E144,"; ",""), "")&amp;IF(E144,"+"&amp;E144&amp;" "&amp;База!$L$4,"")&amp;") ЛИБО ("&amp;IF(E120,"+"&amp;E120&amp;" "&amp;База!$L$2&amp;"; ","")&amp;IF(E130+1,"+"&amp;(E130+1)+E$132&amp;" "&amp;База!$L$3&amp;IF(E144,"; ",""),"")&amp;IF(E144,"+"&amp;E144&amp;" "&amp;База!$L$4,"")&amp;") ЛИБО ("&amp;IF(E120,"+"&amp;E120&amp;" "&amp;База!$L$2&amp;"; ","")&amp;IF(E130,"+"&amp;E130&amp;" "&amp;База!$L$3&amp;"; ","")&amp;IF(E144+1,"+"&amp;E144+1&amp;" "&amp;База!$L$4,"")&amp;")"&amp;IF(E154,"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Мл) ЛИБО (+1 Мл; +2 Мн) ЛИБО (+1 Мл; +1 ОН) ЛИБО (+1 нас.)[/li][li]пустыни: ЛИБО (+1 Мл) ЛИБО (+2 Мн) ЛИБО (+1 ОН)[/li][li]арктика: ЛИБО (+1 Мл) ЛИБО (+2 Мн) ЛИБО (+1 ОН)[/li][li]моря и океаны - не обрабатываются[/li]</v>
      </c>
      <c r="F174" s="41" t="str">
        <f>F173&amp;"[li]"&amp;$B174&amp;IF(F164,": ЛИБО ("&amp;IF(F120+1,"+"&amp;F120+1&amp;" "&amp;База!$L$2&amp;IF(F130+F144,"; ",""), "")&amp;IF(F130,"+"&amp;F130&amp;" "&amp;База!$L$3&amp;IF(F144,"; ",""), "")&amp;IF(F144,"+"&amp;F144&amp;" "&amp;База!$L$4,"")&amp;") ЛИБО ("&amp;IF(F120,"+"&amp;F120&amp;" "&amp;База!$L$2&amp;"; ","")&amp;IF(F130+1,"+"&amp;(F130+1)+F$132&amp;" "&amp;База!$L$3&amp;IF(F144,"; ",""),"")&amp;IF(F144,"+"&amp;F144&amp;" "&amp;База!$L$4,"")&amp;") ЛИБО ("&amp;IF(F120,"+"&amp;F120&amp;" "&amp;База!$L$2&amp;"; ","")&amp;IF(F130,"+"&amp;F130&amp;" "&amp;База!$L$3&amp;"; ","")&amp;IF(F144+1,"+"&amp;F144+1&amp;" "&amp;База!$L$4,"")&amp;")"&amp;IF(F154,"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ОН)[/li][li]джунгли: ЛИБО (+2 Мл) ЛИБО (+1 Мл; +1 Мн) ЛИБО (+1 Мл; +1 ОН)[/li][li]пустыни: ЛИБО (+1 Мл) ЛИБО (+1 Мн) ЛИБО (+1 ОН)[/li][li]арктика: ЛИБО (+1 Мл) ЛИБО (+1 Мн) ЛИБО (+1 ОН)[/li][li]моря и океаны: ЛИБО (+1 Мл; +1 Мн) ЛИБО (+2 Мн) ЛИБО (+1 Мн; +1 ОН)[/li]</v>
      </c>
      <c r="G174" s="41" t="str">
        <f>G173&amp;"[li]"&amp;$B174&amp;IF(G164,": ЛИБО ("&amp;IF(G120+1,"+"&amp;G120+1&amp;" "&amp;База!$L$2&amp;IF(G130+G144,"; ",""), "")&amp;IF(G130,"+"&amp;G130&amp;" "&amp;База!$L$3&amp;IF(G144,"; ",""), "")&amp;IF(G144,"+"&amp;G144&amp;" "&amp;База!$L$4,"")&amp;") ЛИБО ("&amp;IF(G120,"+"&amp;G120&amp;" "&amp;База!$L$2&amp;"; ","")&amp;IF(G130+1,"+"&amp;(G130+1)+G$132&amp;" "&amp;База!$L$3&amp;IF(G144,"; ",""),"")&amp;IF(G144,"+"&amp;G144&amp;" "&amp;База!$L$4,"")&amp;") ЛИБО ("&amp;IF(G120,"+"&amp;G120&amp;" "&amp;База!$L$2&amp;"; ","")&amp;IF(G130,"+"&amp;G130&amp;" "&amp;База!$L$3&amp;"; ","")&amp;IF(G144+1,"+"&amp;G144+1&amp;" "&amp;База!$L$4,"")&amp;")"&amp;IF(G154,"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</v>
      </c>
      <c r="H174" s="41" t="str">
        <f>H173&amp;"[li]"&amp;$B174&amp;IF(H164,": ЛИБО ("&amp;IF(H120+1,"+"&amp;H120+1&amp;" "&amp;База!$L$2&amp;IF(H130+H144,"; ",""), "")&amp;IF(H130,"+"&amp;H130&amp;" "&amp;База!$L$3&amp;IF(H144,"; ",""), "")&amp;IF(H144,"+"&amp;H144&amp;" "&amp;База!$L$4,"")&amp;") ЛИБО ("&amp;IF(H120,"+"&amp;H120&amp;" "&amp;База!$L$2&amp;"; ","")&amp;IF(H130+1,"+"&amp;(H130+1)+H$132&amp;" "&amp;База!$L$3&amp;IF(H144,"; ",""),"")&amp;IF(H144,"+"&amp;H144&amp;" "&amp;База!$L$4,"")&amp;") ЛИБО ("&amp;IF(H120,"+"&amp;H120&amp;" "&amp;База!$L$2&amp;"; ","")&amp;IF(H130,"+"&amp;H130&amp;" "&amp;База!$L$3&amp;"; ","")&amp;IF(H144+1,"+"&amp;H144+1&amp;" "&amp;База!$L$4,"")&amp;")"&amp;IF(H154,"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</v>
      </c>
      <c r="I174" s="41" t="str">
        <f>I173&amp;"[li]"&amp;$B174&amp;IF(I164,": ЛИБО ("&amp;IF(I120+1,"+"&amp;I120+1&amp;" "&amp;База!$L$2&amp;IF(I130+I144,"; ",""), "")&amp;IF(I130,"+"&amp;I130&amp;" "&amp;База!$L$3&amp;IF(I144,"; ",""), "")&amp;IF(I144,"+"&amp;I144&amp;" "&amp;База!$L$4,"")&amp;") ЛИБО ("&amp;IF(I120,"+"&amp;I120&amp;" "&amp;База!$L$2&amp;"; ","")&amp;IF(I130+1,"+"&amp;(I130+1)+I$132&amp;" "&amp;База!$L$3&amp;IF(I144,"; ",""),"")&amp;IF(I144,"+"&amp;I144&amp;" "&amp;База!$L$4,"")&amp;") ЛИБО ("&amp;IF(I120,"+"&amp;I120&amp;" "&amp;База!$L$2&amp;"; ","")&amp;IF(I130,"+"&amp;I130&amp;" "&amp;База!$L$3&amp;"; ","")&amp;IF(I144+1,"+"&amp;I144+1&amp;" "&amp;База!$L$4,"")&amp;")"&amp;IF(I154,"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</v>
      </c>
      <c r="J174" s="41" t="str">
        <f>J173&amp;"[li]"&amp;$B174&amp;IF(J164,": ЛИБО ("&amp;IF(J120+1,"+"&amp;J120+1&amp;" "&amp;База!$L$2&amp;IF(J130+J144,"; ",""), "")&amp;IF(J130,"+"&amp;J130&amp;" "&amp;База!$L$3&amp;IF(J144,"; ",""), "")&amp;IF(J144,"+"&amp;J144&amp;" "&amp;База!$L$4,"")&amp;") ЛИБО ("&amp;IF(J120,"+"&amp;J120&amp;" "&amp;База!$L$2&amp;"; ","")&amp;IF(J130+1,"+"&amp;(J130+1)+J$132&amp;" "&amp;База!$L$3&amp;IF(J144,"; ",""),"")&amp;IF(J144,"+"&amp;J144&amp;" "&amp;База!$L$4,"")&amp;") ЛИБО ("&amp;IF(J120,"+"&amp;J120&amp;" "&amp;База!$L$2&amp;"; ","")&amp;IF(J130,"+"&amp;J130&amp;" "&amp;База!$L$3&amp;"; ","")&amp;IF(J144+1,"+"&amp;J144+1&amp;" "&amp;База!$L$4,"")&amp;")"&amp;IF(J154," ЛИБО (+1 нас.)", "")," - не обрабатываются")&amp;"[/li]"</f>
        <v>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нас.)[/li][li]джунгли: ЛИБО (+2 Мл; +1 Мн) ЛИБО (+1 Мл; +4 Мн) ЛИБО (+1 Мл; +1 Мн; +1 ОН) ЛИБО (+1 нас.)[/li][li]пустыни: ЛИБО (+1 Мл; +1 Мн) ЛИБО (+4 Мн) ЛИБО (+1 Мн; +1 ОН)[/li][li]арктика: ЛИБО (+1 Мл; +1 Мн) ЛИБО (+4 Мн) ЛИБО (+1 Мн; +1 ОН)[/li][li]моря и океаны: ЛИБО (+1 Мл; +2 Мн) ЛИБО (+5 Мн) ЛИБО (+2 Мн; +1 ОН)[/li]</v>
      </c>
      <c r="K174" s="41" t="str">
        <f>K173&amp;"[li]"&amp;$B174&amp;IF(K164,": ЛИБО ("&amp;IF(K120+1,"+"&amp;K120+1&amp;" "&amp;База!$L$2&amp;IF(K130+K144,"; ",""), "")&amp;IF(K130,"+"&amp;K130&amp;" "&amp;База!$L$3&amp;IF(K144,"; ",""), "")&amp;IF(K144,"+"&amp;K144&amp;" "&amp;База!$L$4,"")&amp;") ЛИБО ("&amp;IF(K120,"+"&amp;K120&amp;" "&amp;База!$L$2&amp;"; ","")&amp;IF(K130+1,"+"&amp;K130+1&amp;" "&amp;База!$L$3&amp;IF(K144,"; ",""),"")&amp;IF(K144,"+"&amp;K144&amp;" "&amp;База!$L$4,"")&amp;") ЛИБО ("&amp;IF(K120,"+"&amp;K120&amp;" "&amp;База!$L$2&amp;"; ","")&amp;IF(K130,"+"&amp;K130&amp;" "&amp;База!$L$3&amp;"; ","")&amp;IF(K144+1,"+"&amp;K144+1&amp;" "&amp;База!$L$4,"")&amp;")"&amp;IF(K154,"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нас.)[/li][li]джунгли: ЛИБО (+2 Мл) ЛИБО (+1 Мл; +1 Мн) ЛИБО (+1 Мл; +1 ОН) ЛИБО (+1 нас.)[/li][li]пустыни: ЛИБО (+1 Мл) ЛИБО (+1 Мн) ЛИБО (+1 ОН)[/li][li]арктика: ЛИБО (+1 Мл) ЛИБО (+1 Мн) ЛИБО (+1 ОН)[/li][li]моря и океаны - не обрабатываются[/li]</v>
      </c>
    </row>
    <row r="175" spans="2:16" x14ac:dyDescent="0.25">
      <c r="B175" s="39" t="str">
        <f t="shared" si="39"/>
        <v>горы</v>
      </c>
      <c r="D175" s="41" t="str">
        <f>D174&amp;"[li]"&amp;$B175&amp;IF(D165,": ЛИБО ("&amp;IF(D121+1,"+"&amp;D121+1&amp;" "&amp;База!$L$2&amp;IF(D131+D145,"; ",""), "")&amp;IF(D131,"+"&amp;D131&amp;" "&amp;База!$L$3&amp;IF(D145,"; ",""), "")&amp;IF(D145,"+"&amp;D145&amp;" "&amp;База!$L$4,"")&amp;") ЛИБО ("&amp;IF(D121,"+"&amp;D121&amp;" "&amp;База!$L$2&amp;"; ","")&amp;IF(D131+1,"+"&amp;(D131+1)+D$132&amp;" "&amp;База!$L$3&amp;IF(D145,"; ",""),"")&amp;IF(D145,"+"&amp;D145&amp;" "&amp;База!$L$4,"")&amp;") ЛИБО ("&amp;IF(D121,"+"&amp;D121&amp;" "&amp;База!$L$2&amp;"; ","")&amp;IF(D131,"+"&amp;D131&amp;" "&amp;База!$L$3&amp;"; ","")&amp;IF(D145+1,"+"&amp;D145+1&amp;" "&amp;База!$L$4,"")&amp;")"&amp;IF(D155,"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</v>
      </c>
      <c r="E175" s="41" t="str">
        <f>E174&amp;"[li]"&amp;$B175&amp;IF(E165,": ЛИБО ("&amp;IF(E121+1,"+"&amp;E121+1&amp;" "&amp;База!$L$2&amp;IF(E131+E145,"; ",""), "")&amp;IF(E131,"+"&amp;E131&amp;" "&amp;База!$L$3&amp;IF(E145,"; ",""), "")&amp;IF(E145,"+"&amp;E145&amp;" "&amp;База!$L$4,"")&amp;") ЛИБО ("&amp;IF(E121,"+"&amp;E121&amp;" "&amp;База!$L$2&amp;"; ","")&amp;IF(E131+1,"+"&amp;(E131+1)+E$132&amp;" "&amp;База!$L$3&amp;IF(E145,"; ",""),"")&amp;IF(E145,"+"&amp;E145&amp;" "&amp;База!$L$4,"")&amp;") ЛИБО ("&amp;IF(E121,"+"&amp;E121&amp;" "&amp;База!$L$2&amp;"; ","")&amp;IF(E131,"+"&amp;E131&amp;" "&amp;База!$L$3&amp;"; ","")&amp;IF(E145+1,"+"&amp;E145+1&amp;" "&amp;База!$L$4,"")&amp;")"&amp;IF(E155,"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Мл) ЛИБО (+1 Мл; +2 Мн) ЛИБО (+1 Мл; +1 ОН) ЛИБО (+1 нас.)[/li][li]пустыни: ЛИБО (+1 Мл) ЛИБО (+2 Мн) ЛИБО (+1 ОН)[/li][li]арктика: ЛИБО (+1 Мл) ЛИБО (+2 Мн) ЛИБО (+1 ОН)[/li][li]моря и океаны - не обрабатываются[/li][li]горы - не обрабатываются[/li]</v>
      </c>
      <c r="F175" s="41" t="str">
        <f>F174&amp;"[li]"&amp;$B175&amp;IF(F165,": ЛИБО ("&amp;IF(F121+1,"+"&amp;F121+1&amp;" "&amp;База!$L$2&amp;IF(F131+F145,"; ",""), "")&amp;IF(F131,"+"&amp;F131&amp;" "&amp;База!$L$3&amp;IF(F145,"; ",""), "")&amp;IF(F145,"+"&amp;F145&amp;" "&amp;База!$L$4,"")&amp;") ЛИБО ("&amp;IF(F121,"+"&amp;F121&amp;" "&amp;База!$L$2&amp;"; ","")&amp;IF(F131+1,"+"&amp;(F131+1)+F$132&amp;" "&amp;База!$L$3&amp;IF(F145,"; ",""),"")&amp;IF(F145,"+"&amp;F145&amp;" "&amp;База!$L$4,"")&amp;") ЛИБО ("&amp;IF(F121,"+"&amp;F121&amp;" "&amp;База!$L$2&amp;"; ","")&amp;IF(F131,"+"&amp;F131&amp;" "&amp;База!$L$3&amp;"; ","")&amp;IF(F145+1,"+"&amp;F145+1&amp;" "&amp;База!$L$4,"")&amp;")"&amp;IF(F155,"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ОН)[/li][li]джунгли: ЛИБО (+2 Мл) ЛИБО (+1 Мл; +1 Мн) ЛИБО (+1 Мл; +1 ОН)[/li][li]пустыни: ЛИБО (+1 Мл) ЛИБО (+1 Мн) ЛИБО (+1 ОН)[/li][li]арктика: ЛИБО (+1 Мл) ЛИБО (+1 Мн) ЛИБО (+1 ОН)[/li][li]моря и океаны: ЛИБО (+1 Мл; +1 Мн) ЛИБО (+2 Мн) ЛИБО (+1 Мн; +1 ОН)[/li][li]горы - не обрабатываются[/li]</v>
      </c>
      <c r="G175" s="41" t="str">
        <f>G174&amp;"[li]"&amp;$B175&amp;IF(G165,": ЛИБО ("&amp;IF(G121+1,"+"&amp;G121+1&amp;" "&amp;База!$L$2&amp;IF(G131+G145,"; ",""), "")&amp;IF(G131,"+"&amp;G131&amp;" "&amp;База!$L$3&amp;IF(G145,"; ",""), "")&amp;IF(G145,"+"&amp;G145&amp;" "&amp;База!$L$4,"")&amp;") ЛИБО ("&amp;IF(G121,"+"&amp;G121&amp;" "&amp;База!$L$2&amp;"; ","")&amp;IF(G131+1,"+"&amp;(G131+1)+G$132&amp;" "&amp;База!$L$3&amp;IF(G145,"; ",""),"")&amp;IF(G145,"+"&amp;G145&amp;" "&amp;База!$L$4,"")&amp;") ЛИБО ("&amp;IF(G121,"+"&amp;G121&amp;" "&amp;База!$L$2&amp;"; ","")&amp;IF(G131,"+"&amp;G131&amp;" "&amp;База!$L$3&amp;"; ","")&amp;IF(G145+1,"+"&amp;G145+1&amp;" "&amp;База!$L$4,"")&amp;")"&amp;IF(G155,"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</v>
      </c>
      <c r="H175" s="41" t="str">
        <f>H174&amp;"[li]"&amp;$B175&amp;IF(H165,": ЛИБО ("&amp;IF(H121+1,"+"&amp;H121+1&amp;" "&amp;База!$L$2&amp;IF(H131+H145,"; ",""), "")&amp;IF(H131,"+"&amp;H131&amp;" "&amp;База!$L$3&amp;IF(H145,"; ",""), "")&amp;IF(H145,"+"&amp;H145&amp;" "&amp;База!$L$4,"")&amp;") ЛИБО ("&amp;IF(H121,"+"&amp;H121&amp;" "&amp;База!$L$2&amp;"; ","")&amp;IF(H131+1,"+"&amp;(H131+1)+H$132&amp;" "&amp;База!$L$3&amp;IF(H145,"; ",""),"")&amp;IF(H145,"+"&amp;H145&amp;" "&amp;База!$L$4,"")&amp;") ЛИБО ("&amp;IF(H121,"+"&amp;H121&amp;" "&amp;База!$L$2&amp;"; ","")&amp;IF(H131,"+"&amp;H131&amp;" "&amp;База!$L$3&amp;"; ","")&amp;IF(H145+1,"+"&amp;H145+1&amp;" "&amp;База!$L$4,"")&amp;")"&amp;IF(H155," ЛИБО (+1 нас.)", "")," - не обрабатываются")&amp;"[/li]"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</v>
      </c>
      <c r="I175" s="41" t="str">
        <f>I174&amp;"[li]"&amp;$B175&amp;IF(I165,": ЛИБО ("&amp;IF(I121+1,"+"&amp;I121+1&amp;" "&amp;База!$L$2&amp;IF(I131+I145,"; ",""), "")&amp;IF(I131,"+"&amp;I131&amp;" "&amp;База!$L$3&amp;IF(I145,"; ",""), "")&amp;IF(I145,"+"&amp;I145&amp;" "&amp;База!$L$4,"")&amp;") ЛИБО ("&amp;IF(I121,"+"&amp;I121&amp;" "&amp;База!$L$2&amp;"; ","")&amp;IF(I131+1,"+"&amp;(I131+1)+I$132&amp;" "&amp;База!$L$3&amp;IF(I145,"; ",""),"")&amp;IF(I145,"+"&amp;I145&amp;" "&amp;База!$L$4,"")&amp;") ЛИБО ("&amp;IF(I121,"+"&amp;I121&amp;" "&amp;База!$L$2&amp;"; ","")&amp;IF(I131,"+"&amp;I131&amp;" "&amp;База!$L$3&amp;"; ","")&amp;IF(I145+1,"+"&amp;I145+1&amp;" "&amp;База!$L$4,"")&amp;")"&amp;IF(I155," ЛИБО (+1 нас.)", "")," - не обрабатываются")&amp;"[/li]"</f>
        <v>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 - не обрабатываются[/li]</v>
      </c>
      <c r="J175" s="41" t="str">
        <f>J174&amp;"[li]"&amp;$B175&amp;IF(J165,": ЛИБО ("&amp;IF(J121+1,"+"&amp;J121+1&amp;" "&amp;База!$L$2&amp;IF(J131+J145,"; ",""), "")&amp;IF(J131,"+"&amp;J131&amp;" "&amp;База!$L$3&amp;IF(J145,"; ",""), "")&amp;IF(J145,"+"&amp;J145&amp;" "&amp;База!$L$4,"")&amp;") ЛИБО ("&amp;IF(J121,"+"&amp;J121&amp;" "&amp;База!$L$2&amp;"; ","")&amp;IF(J131+1,"+"&amp;(J131+1)+J$132&amp;" "&amp;База!$L$3&amp;IF(J145,"; ",""),"")&amp;IF(J145,"+"&amp;J145&amp;" "&amp;База!$L$4,"")&amp;") ЛИБО ("&amp;IF(J121,"+"&amp;J121&amp;" "&amp;База!$L$2&amp;"; ","")&amp;IF(J131,"+"&amp;J131&amp;" "&amp;База!$L$3&amp;"; ","")&amp;IF(J145+1,"+"&amp;J145+1&amp;" "&amp;База!$L$4,"")&amp;")"&amp;IF(J155," ЛИБО (+1 нас.)", "")," - не обрабатываются")&amp;"[/li]"</f>
        <v>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нас.)[/li][li]джунгли: ЛИБО (+2 Мл; +1 Мн) ЛИБО (+1 Мл; +4 Мн) ЛИБО (+1 Мл; +1 Мн; +1 ОН) ЛИБО (+1 нас.)[/li][li]пустыни: ЛИБО (+1 Мл; +1 Мн) ЛИБО (+4 Мн) ЛИБО (+1 Мн; +1 ОН)[/li][li]арктика: ЛИБО (+1 Мл; +1 Мн) ЛИБО (+4 Мн) ЛИБО (+1 Мн; +1 ОН)[/li][li]моря и океаны: ЛИБО (+1 Мл; +2 Мн) ЛИБО (+5 Мн) ЛИБО (+2 Мн; +1 ОН)[/li][li]горы: ЛИБО (+1 Мл; +2 Мн) ЛИБО (+5 Мн) ЛИБО (+2 Мн; +1 ОН)[/li]</v>
      </c>
      <c r="K175" s="41" t="str">
        <f>K174&amp;"[li]"&amp;$B175&amp;IF(K165,": ЛИБО ("&amp;IF(K121+1,"+"&amp;K121+1&amp;" "&amp;База!$L$2&amp;IF(K131+K145,"; ",""), "")&amp;IF(K131,"+"&amp;K131&amp;" "&amp;База!$L$3&amp;IF(K145,"; ",""), "")&amp;IF(K145,"+"&amp;K145&amp;" "&amp;База!$L$4,"")&amp;") ЛИБО ("&amp;IF(K121,"+"&amp;K121&amp;" "&amp;База!$L$2&amp;"; ","")&amp;IF(K131+1,"+"&amp;K131+1&amp;" "&amp;База!$L$3&amp;IF(K145,"; ",""),"")&amp;IF(K145,"+"&amp;K145&amp;" "&amp;База!$L$4,"")&amp;") ЛИБО ("&amp;IF(K121,"+"&amp;K121&amp;" "&amp;База!$L$2&amp;"; ","")&amp;IF(K131,"+"&amp;K131&amp;" "&amp;База!$L$3&amp;"; ","")&amp;IF(K145+1,"+"&amp;K145+1&amp;" "&amp;База!$L$4,"")&amp;")"&amp;IF(K155," ЛИБО (+1 нас.)", "")," - не обрабатываются")&amp;"[/li]"</f>
        <v>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нас.)[/li][li]джунгли: ЛИБО (+2 Мл) ЛИБО (+1 Мл; +1 Мн) ЛИБО (+1 Мл; +1 ОН) ЛИБО (+1 нас.)[/li][li]пустыни: ЛИБО (+1 Мл) ЛИБО (+1 Мн) ЛИБО (+1 ОН)[/li][li]арктика: ЛИБО (+1 Мл) ЛИБО (+1 Мн) ЛИБО (+1 ОН)[/li][li]моря и океаны - не обрабатываются[/li][li]горы - не обрабатываются[/li]</v>
      </c>
    </row>
    <row r="176" spans="2:16" x14ac:dyDescent="0.25">
      <c r="D176" s="1" t="str">
        <f>D175&amp;"[/ul]"</f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ОН)[/li][/ul]</v>
      </c>
      <c r="E176" s="138" t="str">
        <f t="shared" ref="E176:K176" si="40">E175&amp;"[/ul]"</f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Мл) ЛИБО (+1 Мл; +2 Мн) ЛИБО (+1 Мл; +1 ОН) ЛИБО (+1 нас.)[/li][li]пустыни: ЛИБО (+1 Мл) ЛИБО (+2 Мн) ЛИБО (+1 ОН)[/li][li]арктика: ЛИБО (+1 Мл) ЛИБО (+2 Мн) ЛИБО (+1 ОН)[/li][li]моря и океаны - не обрабатываются[/li][li]горы - не обрабатываются[/li][/ul]</v>
      </c>
      <c r="F176" s="138" t="str">
        <f t="shared" si="40"/>
        <v>[ul][li]холмы: ЛИБО (+2 Мл) ЛИБО (+1 Мл; +1 Мн) ЛИБО (+1 Мл; +1 ОН)[/li][li]равнины и луга: ЛИБО (+1 Мл) ЛИБО (+1 Мн) ЛИБО (+1 ОН) ЛИБО (+1 нас.)[/li][li]лес: ЛИБО (+3 Мл) ЛИБО (+2 Мл; +1 Мн) ЛИБО (+2 Мл; +1 ОН)[/li][li]джунгли: ЛИБО (+2 Мл) ЛИБО (+1 Мл; +1 Мн) ЛИБО (+1 Мл; +1 ОН)[/li][li]пустыни: ЛИБО (+1 Мл) ЛИБО (+1 Мн) ЛИБО (+1 ОН)[/li][li]арктика: ЛИБО (+1 Мл) ЛИБО (+1 Мн) ЛИБО (+1 ОН)[/li][li]моря и океаны: ЛИБО (+1 Мл; +1 Мн) ЛИБО (+2 Мн) ЛИБО (+1 Мн; +1 ОН)[/li][li]горы - не обрабатываются[/li][/ul]</v>
      </c>
      <c r="G176" s="138" t="str">
        <f t="shared" si="40"/>
        <v>[ul][li]холмы: ЛИБО (+2 Мл) ЛИБО (+1 Мл; +2 Мн) ЛИБО (+1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ОН)[/li][/ul]</v>
      </c>
      <c r="H176" s="138" t="str">
        <f t="shared" si="40"/>
        <v>[ul][li]холмы: ЛИБО (+3 Мл) ЛИБО (+2 Мл; +2 Мн) ЛИБО (+2 Мл; +1 ОН)[/li][li]равнины и луга: ЛИБО (+1 Мл) ЛИБО (+2 Мн) ЛИБО (+1 ОН) ЛИБО (+1 нас.)[/li][li]лес: ЛИБО (+3 Мл) ЛИБО (+2 Мл; +2 Мн) ЛИБО (+2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ОН)[/li][li]горы: ЛИБО (+1 Мл; +1 Мн) ЛИБО (+3 Мн) ЛИБО (+1 Мн; +1 ОН)[/li][/ul]</v>
      </c>
      <c r="I176" s="138" t="str">
        <f t="shared" si="40"/>
        <v>[ul][li]холмы: ЛИБО (+2 Мл) ЛИБО (+1 Мл; +2 Мн) ЛИБО (+1 Мл; +1 ОН)[/li][li]равнины и луга: ЛИБО (+1 Мл) ЛИБО (+2 Мн) ЛИБО (+1 ОН) ЛИБО (+1 нас.)[/li][li]лес: ЛИБО (+2 Мл) ЛИБО (+1 Мл; +2 Мн) ЛИБО (+1 Мл; +1 ОН) ЛИБО (+1 нас.)[/li][li]джунгли: ЛИБО (+2 Мл; +1 ОН) ЛИБО (+1 Мл; +2 Мн; +1 ОН) ЛИБО (+1 Мл; +2 ОН) ЛИБО (+1 нас.)[/li][li]пустыни: ЛИБО (+1 Мл) ЛИБО (+2 Мн) ЛИБО (+1 ОН)[/li][li]арктика: ЛИБО (+1 Мл) ЛИБО (+2 Мн) ЛИБО (+1 ОН)[/li][li]моря и океаны: ЛИБО (+1 Мл; +2 Мн) ЛИБО (+4 Мн) ЛИБО (+2 Мн; +1 ОН)[/li][li]горы - не обрабатываются[/li][/ul]</v>
      </c>
      <c r="J176" s="138" t="str">
        <f t="shared" si="40"/>
        <v>[ul][li]холмы: ЛИБО (+2 Мл; +1 Мн) ЛИБО (+1 Мл; +4 Мн) ЛИБО (+1 Мл; +1 Мн; +1 ОН)[/li][li]равнины и луга: ЛИБО (+1 Мл; +1 Мн) ЛИБО (+4 Мн) ЛИБО (+1 Мн; +1 ОН) ЛИБО (+1 нас.)[/li][li]лес: ЛИБО (+3 Мл; +1 Мн) ЛИБО (+2 Мл; +4 Мн) ЛИБО (+2 Мл; +1 Мн; +1 ОН) ЛИБО (+1 нас.)[/li][li]джунгли: ЛИБО (+2 Мл; +1 Мн) ЛИБО (+1 Мл; +4 Мн) ЛИБО (+1 Мл; +1 Мн; +1 ОН) ЛИБО (+1 нас.)[/li][li]пустыни: ЛИБО (+1 Мл; +1 Мн) ЛИБО (+4 Мн) ЛИБО (+1 Мн; +1 ОН)[/li][li]арктика: ЛИБО (+1 Мл; +1 Мн) ЛИБО (+4 Мн) ЛИБО (+1 Мн; +1 ОН)[/li][li]моря и океаны: ЛИБО (+1 Мл; +2 Мн) ЛИБО (+5 Мн) ЛИБО (+2 Мн; +1 ОН)[/li][li]горы: ЛИБО (+1 Мл; +2 Мн) ЛИБО (+5 Мн) ЛИБО (+2 Мн; +1 ОН)[/li][/ul]</v>
      </c>
      <c r="K176" s="138" t="str">
        <f t="shared" si="40"/>
        <v>[ul][li]холмы: ЛИБО (+2 Мл) ЛИБО (+1 Мл; +1 Мн) ЛИБО (+1 Мл; +1 ОН)[/li][li]равнины и луга: ЛИБО (+1 Мл) ЛИБО (+1 Мн) ЛИБО (+1 ОН) ЛИБО (+1 нас.)[/li][li]лес: ЛИБО (+2 Мл) ЛИБО (+1 Мл; +1 Мн) ЛИБО (+1 Мл; +1 ОН) ЛИБО (+1 нас.)[/li][li]джунгли: ЛИБО (+2 Мл) ЛИБО (+1 Мл; +1 Мн) ЛИБО (+1 Мл; +1 ОН) ЛИБО (+1 нас.)[/li][li]пустыни: ЛИБО (+1 Мл) ЛИБО (+1 Мн) ЛИБО (+1 ОН)[/li][li]арктика: ЛИБО (+1 Мл) ЛИБО (+1 Мн) ЛИБО (+1 ОН)[/li][li]моря и океаны - не обрабатываются[/li][li]горы - не обрабатываются[/li][/ul]</v>
      </c>
    </row>
  </sheetData>
  <mergeCells count="4">
    <mergeCell ref="B102:B109"/>
    <mergeCell ref="B72:B76"/>
    <mergeCell ref="B85:B89"/>
    <mergeCell ref="B97:B9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G23" sqref="G23"/>
    </sheetView>
  </sheetViews>
  <sheetFormatPr defaultRowHeight="15" x14ac:dyDescent="0.25"/>
  <cols>
    <col min="1" max="1" width="21.140625" customWidth="1"/>
    <col min="2" max="2" width="3.7109375" style="1" bestFit="1" customWidth="1"/>
    <col min="3" max="3" width="3.7109375" style="138" customWidth="1"/>
    <col min="4" max="6" width="3.7109375" style="1" bestFit="1" customWidth="1"/>
    <col min="7" max="7" width="55.140625" customWidth="1"/>
    <col min="8" max="8" width="6.5703125" bestFit="1" customWidth="1"/>
    <col min="9" max="13" width="3.7109375" bestFit="1" customWidth="1"/>
    <col min="14" max="14" width="3" customWidth="1"/>
    <col min="15" max="22" width="6.28515625" customWidth="1"/>
  </cols>
  <sheetData>
    <row r="1" spans="1:22" ht="69" customHeight="1" x14ac:dyDescent="0.25">
      <c r="A1" s="15" t="s">
        <v>217</v>
      </c>
      <c r="B1" s="43" t="s">
        <v>225</v>
      </c>
      <c r="C1" s="43" t="s">
        <v>0</v>
      </c>
      <c r="D1" s="43" t="s">
        <v>271</v>
      </c>
      <c r="E1" s="43" t="s">
        <v>272</v>
      </c>
      <c r="F1" s="43" t="s">
        <v>274</v>
      </c>
      <c r="G1" s="15" t="s">
        <v>232</v>
      </c>
      <c r="H1" s="44" t="s">
        <v>256</v>
      </c>
      <c r="I1" s="44" t="s">
        <v>202</v>
      </c>
      <c r="J1" s="44" t="s">
        <v>169</v>
      </c>
      <c r="K1" s="44" t="s">
        <v>258</v>
      </c>
      <c r="L1" s="44" t="s">
        <v>268</v>
      </c>
      <c r="M1" s="44" t="s">
        <v>253</v>
      </c>
      <c r="O1" s="16" t="str">
        <f>Наука!D1</f>
        <v>Русь</v>
      </c>
      <c r="P1" s="16" t="str">
        <f>Наука!E1</f>
        <v>Римская империя</v>
      </c>
      <c r="Q1" s="16" t="str">
        <f>Наука!F1</f>
        <v>Индия</v>
      </c>
      <c r="R1" s="16" t="str">
        <f>Наука!G1</f>
        <v>Великие монголы</v>
      </c>
      <c r="S1" s="16" t="str">
        <f>Наука!H1</f>
        <v>Поднебесная</v>
      </c>
      <c r="T1" s="16" t="str">
        <f>Наука!I1</f>
        <v>Индонезия</v>
      </c>
      <c r="U1" s="16" t="str">
        <f>Наука!J1</f>
        <v>Египет</v>
      </c>
      <c r="V1" s="16" t="str">
        <f>Наука!K1</f>
        <v>Зулусы</v>
      </c>
    </row>
    <row r="2" spans="1:22" x14ac:dyDescent="0.25">
      <c r="A2" s="15" t="s">
        <v>218</v>
      </c>
      <c r="B2" s="40">
        <v>1</v>
      </c>
      <c r="C2" s="259">
        <f>IF(ISERROR(VLOOKUP(Чудеса!A2,Города!K$2:AP$99,32,0)),0,VLOOKUP(Чудеса!A2,Города!K$2:AP$99,32,0))</f>
        <v>0</v>
      </c>
      <c r="D2" s="40">
        <f>IF(C2&gt;0,IF(B2+1&lt;VLOOKUP(C2,Нации!B$3:AL$10,37,0),0,1),0)</f>
        <v>0</v>
      </c>
      <c r="E2" s="40">
        <f>COUNTIFS(Города!C:C,C2,Города!K:K,Чудеса!A2)*D2</f>
        <v>0</v>
      </c>
      <c r="F2" s="40">
        <f>E2*(1-H2)</f>
        <v>0</v>
      </c>
      <c r="G2" s="15" t="s">
        <v>233</v>
      </c>
      <c r="H2" s="15">
        <v>0</v>
      </c>
      <c r="I2" s="15"/>
      <c r="J2" s="15"/>
      <c r="K2" s="15"/>
      <c r="L2" s="15"/>
      <c r="M2" s="15"/>
      <c r="N2" t="str">
        <f t="shared" ref="N2:N23" ca="1" si="0">N3&amp;IF(F2,"[br]- "&amp;G2&amp;";","")</f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2" s="88">
        <f>COUNTIFS(Города!$C:$C,O$1,Города!$K:$K,$A2)</f>
        <v>0</v>
      </c>
      <c r="P2" s="91">
        <f>COUNTIFS(Города!$C:$C,P$1,Города!$K:$K,$A2)</f>
        <v>0</v>
      </c>
      <c r="Q2" s="91">
        <f>COUNTIFS(Города!$C:$C,Q$1,Города!$K:$K,$A2)</f>
        <v>0</v>
      </c>
      <c r="R2" s="91">
        <f>COUNTIFS(Города!$C:$C,R$1,Города!$K:$K,$A2)</f>
        <v>0</v>
      </c>
      <c r="S2" s="91">
        <f>COUNTIFS(Города!$C:$C,S$1,Города!$K:$K,$A2)</f>
        <v>0</v>
      </c>
      <c r="T2" s="91">
        <f>COUNTIFS(Города!$C:$C,T$1,Города!$K:$K,$A2)</f>
        <v>0</v>
      </c>
      <c r="U2" s="91">
        <f>COUNTIFS(Города!$C:$C,U$1,Города!$K:$K,$A2)</f>
        <v>0</v>
      </c>
      <c r="V2" s="91">
        <f>COUNTIFS(Города!$C:$C,V$1,Города!$K:$K,$A2)</f>
        <v>0</v>
      </c>
    </row>
    <row r="3" spans="1:22" x14ac:dyDescent="0.25">
      <c r="A3" s="15" t="s">
        <v>219</v>
      </c>
      <c r="B3" s="40">
        <v>1</v>
      </c>
      <c r="C3" s="259">
        <f>IF(ISERROR(VLOOKUP(Чудеса!A3,Города!K$2:AP$99,32,0)),0,VLOOKUP(Чудеса!A3,Города!K$2:AP$99,32,0))</f>
        <v>0</v>
      </c>
      <c r="D3" s="226">
        <f>IF(C3&gt;0,IF(B3+1&lt;VLOOKUP(C3,Нации!B$3:AL$10,37,0),0,1),0)</f>
        <v>0</v>
      </c>
      <c r="E3" s="226">
        <f>COUNTIFS(Города!C:C,C3,Города!K:K,Чудеса!A3)*D3</f>
        <v>0</v>
      </c>
      <c r="F3" s="40">
        <f t="shared" ref="F3:F23" si="1">E3*(1-H3)</f>
        <v>0</v>
      </c>
      <c r="G3" s="15" t="s">
        <v>234</v>
      </c>
      <c r="H3" s="15">
        <v>0</v>
      </c>
      <c r="I3" s="15"/>
      <c r="J3" s="15"/>
      <c r="K3" s="15"/>
      <c r="L3" s="15"/>
      <c r="M3" s="15"/>
      <c r="N3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3" s="91">
        <f>COUNTIFS(Города!$C:$C,O$1,Города!$K:$K,$A3)</f>
        <v>0</v>
      </c>
      <c r="P3" s="91">
        <f>COUNTIFS(Города!$C:$C,P$1,Города!$K:$K,$A3)</f>
        <v>0</v>
      </c>
      <c r="Q3" s="91">
        <f>COUNTIFS(Города!$C:$C,Q$1,Города!$K:$K,$A3)</f>
        <v>0</v>
      </c>
      <c r="R3" s="91">
        <f>COUNTIFS(Города!$C:$C,R$1,Города!$K:$K,$A3)</f>
        <v>0</v>
      </c>
      <c r="S3" s="91">
        <f>COUNTIFS(Города!$C:$C,S$1,Города!$K:$K,$A3)</f>
        <v>0</v>
      </c>
      <c r="T3" s="91">
        <f>COUNTIFS(Города!$C:$C,T$1,Города!$K:$K,$A3)</f>
        <v>0</v>
      </c>
      <c r="U3" s="91">
        <f>COUNTIFS(Города!$C:$C,U$1,Города!$K:$K,$A3)</f>
        <v>0</v>
      </c>
      <c r="V3" s="91">
        <f>COUNTIFS(Города!$C:$C,V$1,Города!$K:$K,$A3)</f>
        <v>0</v>
      </c>
    </row>
    <row r="4" spans="1:22" x14ac:dyDescent="0.25">
      <c r="A4" s="15" t="s">
        <v>220</v>
      </c>
      <c r="B4" s="40">
        <v>1</v>
      </c>
      <c r="C4" s="259">
        <f>IF(ISERROR(VLOOKUP(Чудеса!A4,Города!K$2:AP$99,32,0)),0,VLOOKUP(Чудеса!A4,Города!K$2:AP$99,32,0))</f>
        <v>0</v>
      </c>
      <c r="D4" s="226">
        <f>IF(C4&gt;0,IF(B4+1&lt;VLOOKUP(C4,Нации!B$3:AL$10,37,0),0,1),0)</f>
        <v>0</v>
      </c>
      <c r="E4" s="226">
        <f>COUNTIFS(Города!C:C,C4,Города!K:K,Чудеса!A4)*D4</f>
        <v>0</v>
      </c>
      <c r="F4" s="40">
        <f t="shared" si="1"/>
        <v>0</v>
      </c>
      <c r="G4" s="15" t="s">
        <v>235</v>
      </c>
      <c r="H4" s="15">
        <v>1</v>
      </c>
      <c r="I4" s="15"/>
      <c r="J4" s="15"/>
      <c r="K4" s="15"/>
      <c r="L4" s="15"/>
      <c r="M4" s="15"/>
      <c r="N4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4" s="91">
        <f>COUNTIFS(Города!$C:$C,O$1,Города!$K:$K,$A4)</f>
        <v>0</v>
      </c>
      <c r="P4" s="91">
        <f>COUNTIFS(Города!$C:$C,P$1,Города!$K:$K,$A4)</f>
        <v>0</v>
      </c>
      <c r="Q4" s="91">
        <f>COUNTIFS(Города!$C:$C,Q$1,Города!$K:$K,$A4)</f>
        <v>0</v>
      </c>
      <c r="R4" s="91">
        <f>COUNTIFS(Города!$C:$C,R$1,Города!$K:$K,$A4)</f>
        <v>0</v>
      </c>
      <c r="S4" s="91">
        <f>COUNTIFS(Города!$C:$C,S$1,Города!$K:$K,$A4)</f>
        <v>0</v>
      </c>
      <c r="T4" s="91">
        <f>COUNTIFS(Города!$C:$C,T$1,Города!$K:$K,$A4)</f>
        <v>0</v>
      </c>
      <c r="U4" s="91">
        <f>COUNTIFS(Города!$C:$C,U$1,Города!$K:$K,$A4)</f>
        <v>0</v>
      </c>
      <c r="V4" s="91">
        <f>COUNTIFS(Города!$C:$C,V$1,Города!$K:$K,$A4)</f>
        <v>0</v>
      </c>
    </row>
    <row r="5" spans="1:22" x14ac:dyDescent="0.25">
      <c r="A5" s="15" t="s">
        <v>221</v>
      </c>
      <c r="B5" s="40">
        <v>1</v>
      </c>
      <c r="C5" s="259">
        <f>IF(ISERROR(VLOOKUP(Чудеса!A5,Города!K$2:AP$99,32,0)),0,VLOOKUP(Чудеса!A5,Города!K$2:AP$99,32,0))</f>
        <v>0</v>
      </c>
      <c r="D5" s="226">
        <f>IF(C5&gt;0,IF(B5+1&lt;VLOOKUP(C5,Нации!B$3:AL$10,37,0),0,1),0)</f>
        <v>0</v>
      </c>
      <c r="E5" s="226">
        <f>COUNTIFS(Города!C:C,C5,Города!K:K,Чудеса!A5)*D5</f>
        <v>0</v>
      </c>
      <c r="F5" s="40">
        <f t="shared" si="1"/>
        <v>0</v>
      </c>
      <c r="G5" s="15" t="s">
        <v>405</v>
      </c>
      <c r="H5" s="15">
        <v>0</v>
      </c>
      <c r="I5" s="15"/>
      <c r="J5" s="15">
        <v>2</v>
      </c>
      <c r="K5" s="15"/>
      <c r="L5" s="15"/>
      <c r="M5" s="15"/>
      <c r="N5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5" s="91">
        <f>COUNTIFS(Города!$C:$C,O$1,Города!$K:$K,$A5)</f>
        <v>0</v>
      </c>
      <c r="P5" s="91">
        <f>COUNTIFS(Города!$C:$C,P$1,Города!$K:$K,$A5)</f>
        <v>0</v>
      </c>
      <c r="Q5" s="91">
        <f>COUNTIFS(Города!$C:$C,Q$1,Города!$K:$K,$A5)</f>
        <v>0</v>
      </c>
      <c r="R5" s="91">
        <f>COUNTIFS(Города!$C:$C,R$1,Города!$K:$K,$A5)</f>
        <v>0</v>
      </c>
      <c r="S5" s="91">
        <f>COUNTIFS(Города!$C:$C,S$1,Города!$K:$K,$A5)</f>
        <v>0</v>
      </c>
      <c r="T5" s="91">
        <f>COUNTIFS(Города!$C:$C,T$1,Города!$K:$K,$A5)</f>
        <v>0</v>
      </c>
      <c r="U5" s="91">
        <f>COUNTIFS(Города!$C:$C,U$1,Города!$K:$K,$A5)</f>
        <v>0</v>
      </c>
      <c r="V5" s="91">
        <f>COUNTIFS(Города!$C:$C,V$1,Города!$K:$K,$A5)</f>
        <v>0</v>
      </c>
    </row>
    <row r="6" spans="1:22" x14ac:dyDescent="0.25">
      <c r="A6" s="15" t="s">
        <v>222</v>
      </c>
      <c r="B6" s="40">
        <v>1</v>
      </c>
      <c r="C6" s="259">
        <f>IF(ISERROR(VLOOKUP(Чудеса!A6,Города!K$2:AP$99,32,0)),0,VLOOKUP(Чудеса!A6,Города!K$2:AP$99,32,0))</f>
        <v>0</v>
      </c>
      <c r="D6" s="226">
        <f>IF(C6&gt;0,IF(B6+1&lt;VLOOKUP(C6,Нации!B$3:AL$10,37,0),0,1),0)</f>
        <v>0</v>
      </c>
      <c r="E6" s="226">
        <f>COUNTIFS(Города!C:C,C6,Города!K:K,Чудеса!A6)*D6</f>
        <v>0</v>
      </c>
      <c r="F6" s="40">
        <f t="shared" si="1"/>
        <v>0</v>
      </c>
      <c r="G6" s="15" t="s">
        <v>406</v>
      </c>
      <c r="H6" s="15">
        <v>0</v>
      </c>
      <c r="I6" s="15">
        <v>1</v>
      </c>
      <c r="J6" s="15"/>
      <c r="K6" s="15"/>
      <c r="L6" s="15"/>
      <c r="M6" s="15"/>
      <c r="N6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6" s="91">
        <f>COUNTIFS(Города!$C:$C,O$1,Города!$K:$K,$A6)</f>
        <v>0</v>
      </c>
      <c r="P6" s="91">
        <f>COUNTIFS(Города!$C:$C,P$1,Города!$K:$K,$A6)</f>
        <v>0</v>
      </c>
      <c r="Q6" s="91">
        <f>COUNTIFS(Города!$C:$C,Q$1,Города!$K:$K,$A6)</f>
        <v>0</v>
      </c>
      <c r="R6" s="91">
        <f>COUNTIFS(Города!$C:$C,R$1,Города!$K:$K,$A6)</f>
        <v>0</v>
      </c>
      <c r="S6" s="91">
        <f>COUNTIFS(Города!$C:$C,S$1,Города!$K:$K,$A6)</f>
        <v>0</v>
      </c>
      <c r="T6" s="91">
        <f>COUNTIFS(Города!$C:$C,T$1,Города!$K:$K,$A6)</f>
        <v>0</v>
      </c>
      <c r="U6" s="91">
        <f>COUNTIFS(Города!$C:$C,U$1,Города!$K:$K,$A6)</f>
        <v>0</v>
      </c>
      <c r="V6" s="91">
        <f>COUNTIFS(Города!$C:$C,V$1,Города!$K:$K,$A6)</f>
        <v>0</v>
      </c>
    </row>
    <row r="7" spans="1:22" x14ac:dyDescent="0.25">
      <c r="A7" s="15" t="s">
        <v>223</v>
      </c>
      <c r="B7" s="40">
        <v>1</v>
      </c>
      <c r="C7" s="259">
        <f>IF(ISERROR(VLOOKUP(Чудеса!A7,Города!K$2:AP$99,32,0)),0,VLOOKUP(Чудеса!A7,Города!K$2:AP$99,32,0))</f>
        <v>0</v>
      </c>
      <c r="D7" s="226">
        <f>IF(C7&gt;0,IF(B7+1&lt;VLOOKUP(C7,Нации!B$3:AL$10,37,0),0,1),0)</f>
        <v>0</v>
      </c>
      <c r="E7" s="226">
        <f>COUNTIFS(Города!C:C,C7,Города!K:K,Чудеса!A7)*D7</f>
        <v>0</v>
      </c>
      <c r="F7" s="40">
        <f t="shared" si="1"/>
        <v>0</v>
      </c>
      <c r="G7" s="15" t="s">
        <v>408</v>
      </c>
      <c r="H7" s="15">
        <v>1</v>
      </c>
      <c r="I7" s="15"/>
      <c r="J7" s="15"/>
      <c r="K7" s="15"/>
      <c r="L7" s="15"/>
      <c r="M7" s="15"/>
      <c r="N7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7" s="91">
        <f>COUNTIFS(Города!$C:$C,O$1,Города!$K:$K,$A7)</f>
        <v>0</v>
      </c>
      <c r="P7" s="91">
        <f>COUNTIFS(Города!$C:$C,P$1,Города!$K:$K,$A7)</f>
        <v>0</v>
      </c>
      <c r="Q7" s="91">
        <f>COUNTIFS(Города!$C:$C,Q$1,Города!$K:$K,$A7)</f>
        <v>0</v>
      </c>
      <c r="R7" s="91">
        <f>COUNTIFS(Города!$C:$C,R$1,Города!$K:$K,$A7)</f>
        <v>0</v>
      </c>
      <c r="S7" s="91">
        <f>COUNTIFS(Города!$C:$C,S$1,Города!$K:$K,$A7)</f>
        <v>0</v>
      </c>
      <c r="T7" s="91">
        <f>COUNTIFS(Города!$C:$C,T$1,Города!$K:$K,$A7)</f>
        <v>0</v>
      </c>
      <c r="U7" s="91">
        <f>COUNTIFS(Города!$C:$C,U$1,Города!$K:$K,$A7)</f>
        <v>0</v>
      </c>
      <c r="V7" s="91">
        <f>COUNTIFS(Города!$C:$C,V$1,Города!$K:$K,$A7)</f>
        <v>0</v>
      </c>
    </row>
    <row r="8" spans="1:22" x14ac:dyDescent="0.25">
      <c r="A8" s="15" t="s">
        <v>224</v>
      </c>
      <c r="B8" s="40">
        <v>1</v>
      </c>
      <c r="C8" s="259">
        <f>IF(ISERROR(VLOOKUP(Чудеса!A8,Города!K$2:AP$99,32,0)),0,VLOOKUP(Чудеса!A8,Города!K$2:AP$99,32,0))</f>
        <v>0</v>
      </c>
      <c r="D8" s="226">
        <f>IF(C8&gt;0,IF(B8+1&lt;VLOOKUP(C8,Нации!B$3:AL$10,37,0),0,1),0)</f>
        <v>0</v>
      </c>
      <c r="E8" s="226">
        <f>COUNTIFS(Города!C:C,C8,Города!K:K,Чудеса!A8)*D8</f>
        <v>0</v>
      </c>
      <c r="F8" s="40">
        <f t="shared" si="1"/>
        <v>0</v>
      </c>
      <c r="G8" s="15" t="s">
        <v>236</v>
      </c>
      <c r="H8" s="15">
        <v>1</v>
      </c>
      <c r="I8" s="15"/>
      <c r="J8" s="15"/>
      <c r="K8" s="15"/>
      <c r="L8" s="15"/>
      <c r="M8" s="15"/>
      <c r="N8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8" s="91">
        <f>COUNTIFS(Города!$C:$C,O$1,Города!$K:$K,$A8)</f>
        <v>0</v>
      </c>
      <c r="P8" s="91">
        <f>COUNTIFS(Города!$C:$C,P$1,Города!$K:$K,$A8)</f>
        <v>0</v>
      </c>
      <c r="Q8" s="91">
        <f>COUNTIFS(Города!$C:$C,Q$1,Города!$K:$K,$A8)</f>
        <v>0</v>
      </c>
      <c r="R8" s="91">
        <f>COUNTIFS(Города!$C:$C,R$1,Города!$K:$K,$A8)</f>
        <v>0</v>
      </c>
      <c r="S8" s="91">
        <f>COUNTIFS(Города!$C:$C,S$1,Города!$K:$K,$A8)</f>
        <v>0</v>
      </c>
      <c r="T8" s="91">
        <f>COUNTIFS(Города!$C:$C,T$1,Города!$K:$K,$A8)</f>
        <v>0</v>
      </c>
      <c r="U8" s="91">
        <f>COUNTIFS(Города!$C:$C,U$1,Города!$K:$K,$A8)</f>
        <v>0</v>
      </c>
      <c r="V8" s="91">
        <f>COUNTIFS(Города!$C:$C,V$1,Города!$K:$K,$A8)</f>
        <v>0</v>
      </c>
    </row>
    <row r="9" spans="1:22" x14ac:dyDescent="0.25">
      <c r="A9" s="15" t="s">
        <v>237</v>
      </c>
      <c r="B9" s="40">
        <v>2</v>
      </c>
      <c r="C9" s="259">
        <f>IF(ISERROR(VLOOKUP(Чудеса!A9,Города!K$2:AP$99,32,0)),0,VLOOKUP(Чудеса!A9,Города!K$2:AP$99,32,0))</f>
        <v>0</v>
      </c>
      <c r="D9" s="226">
        <f>IF(C9&gt;0,IF(B9+1&lt;VLOOKUP(C9,Нации!B$3:AL$10,37,0),0,1),0)</f>
        <v>0</v>
      </c>
      <c r="E9" s="226">
        <f>COUNTIFS(Города!C:C,C9,Города!K:K,Чудеса!A9)*D9</f>
        <v>0</v>
      </c>
      <c r="F9" s="40">
        <f t="shared" si="1"/>
        <v>0</v>
      </c>
      <c r="G9" s="15" t="s">
        <v>407</v>
      </c>
      <c r="H9" s="15">
        <v>0</v>
      </c>
      <c r="I9" s="15">
        <v>2</v>
      </c>
      <c r="J9" s="15"/>
      <c r="K9" s="15"/>
      <c r="L9" s="15"/>
      <c r="M9" s="15"/>
      <c r="N9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9" s="91">
        <f>COUNTIFS(Города!$C:$C,O$1,Города!$K:$K,$A9)</f>
        <v>0</v>
      </c>
      <c r="P9" s="91">
        <f>COUNTIFS(Города!$C:$C,P$1,Города!$K:$K,$A9)</f>
        <v>0</v>
      </c>
      <c r="Q9" s="91">
        <f>COUNTIFS(Города!$C:$C,Q$1,Города!$K:$K,$A9)</f>
        <v>0</v>
      </c>
      <c r="R9" s="91">
        <f>COUNTIFS(Города!$C:$C,R$1,Города!$K:$K,$A9)</f>
        <v>0</v>
      </c>
      <c r="S9" s="91">
        <f>COUNTIFS(Города!$C:$C,S$1,Города!$K:$K,$A9)</f>
        <v>0</v>
      </c>
      <c r="T9" s="91">
        <f>COUNTIFS(Города!$C:$C,T$1,Города!$K:$K,$A9)</f>
        <v>0</v>
      </c>
      <c r="U9" s="91">
        <f>COUNTIFS(Города!$C:$C,U$1,Города!$K:$K,$A9)</f>
        <v>0</v>
      </c>
      <c r="V9" s="91">
        <f>COUNTIFS(Города!$C:$C,V$1,Города!$K:$K,$A9)</f>
        <v>0</v>
      </c>
    </row>
    <row r="10" spans="1:22" x14ac:dyDescent="0.25">
      <c r="A10" s="15" t="s">
        <v>238</v>
      </c>
      <c r="B10" s="40">
        <v>2</v>
      </c>
      <c r="C10" s="259">
        <f>IF(ISERROR(VLOOKUP(Чудеса!A10,Города!K$2:AP$99,32,0)),0,VLOOKUP(Чудеса!A10,Города!K$2:AP$99,32,0))</f>
        <v>0</v>
      </c>
      <c r="D10" s="226">
        <f>IF(C10&gt;0,IF(B10+1&lt;VLOOKUP(C10,Нации!B$3:AL$10,37,0),0,1),0)</f>
        <v>0</v>
      </c>
      <c r="E10" s="226">
        <f>COUNTIFS(Города!C:C,C10,Города!K:K,Чудеса!A10)*D10</f>
        <v>0</v>
      </c>
      <c r="F10" s="40">
        <f t="shared" si="1"/>
        <v>0</v>
      </c>
      <c r="G10" s="15" t="s">
        <v>243</v>
      </c>
      <c r="H10" s="15">
        <v>0</v>
      </c>
      <c r="I10" s="15"/>
      <c r="J10" s="15"/>
      <c r="K10" s="15"/>
      <c r="L10" s="15"/>
      <c r="M10" s="15"/>
      <c r="N10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0" s="91">
        <f>COUNTIFS(Города!$C:$C,O$1,Города!$K:$K,$A10)</f>
        <v>0</v>
      </c>
      <c r="P10" s="91">
        <f>COUNTIFS(Города!$C:$C,P$1,Города!$K:$K,$A10)</f>
        <v>0</v>
      </c>
      <c r="Q10" s="91">
        <f>COUNTIFS(Города!$C:$C,Q$1,Города!$K:$K,$A10)</f>
        <v>0</v>
      </c>
      <c r="R10" s="91">
        <f>COUNTIFS(Города!$C:$C,R$1,Города!$K:$K,$A10)</f>
        <v>0</v>
      </c>
      <c r="S10" s="91">
        <f>COUNTIFS(Города!$C:$C,S$1,Города!$K:$K,$A10)</f>
        <v>0</v>
      </c>
      <c r="T10" s="91">
        <f>COUNTIFS(Города!$C:$C,T$1,Города!$K:$K,$A10)</f>
        <v>0</v>
      </c>
      <c r="U10" s="91">
        <f>COUNTIFS(Города!$C:$C,U$1,Города!$K:$K,$A10)</f>
        <v>0</v>
      </c>
      <c r="V10" s="91">
        <f>COUNTIFS(Города!$C:$C,V$1,Города!$K:$K,$A10)</f>
        <v>0</v>
      </c>
    </row>
    <row r="11" spans="1:22" x14ac:dyDescent="0.25">
      <c r="A11" s="15" t="s">
        <v>239</v>
      </c>
      <c r="B11" s="40">
        <v>2</v>
      </c>
      <c r="C11" s="259">
        <f>IF(ISERROR(VLOOKUP(Чудеса!A11,Города!K$2:AP$99,32,0)),0,VLOOKUP(Чудеса!A11,Города!K$2:AP$99,32,0))</f>
        <v>0</v>
      </c>
      <c r="D11" s="226">
        <f>IF(C11&gt;0,IF(B11+1&lt;VLOOKUP(C11,Нации!B$3:AL$10,37,0),0,1),0)</f>
        <v>0</v>
      </c>
      <c r="E11" s="226">
        <f>COUNTIFS(Города!C:C,C11,Города!K:K,Чудеса!A11)*D11</f>
        <v>0</v>
      </c>
      <c r="F11" s="40">
        <f t="shared" si="1"/>
        <v>0</v>
      </c>
      <c r="G11" s="15" t="s">
        <v>244</v>
      </c>
      <c r="H11" s="15">
        <v>1</v>
      </c>
      <c r="I11" s="15"/>
      <c r="J11" s="15"/>
      <c r="K11" s="15"/>
      <c r="L11" s="15"/>
      <c r="M11" s="15"/>
      <c r="N11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1" s="91">
        <f>COUNTIFS(Города!$C:$C,O$1,Города!$K:$K,$A11)</f>
        <v>0</v>
      </c>
      <c r="P11" s="91">
        <f>COUNTIFS(Города!$C:$C,P$1,Города!$K:$K,$A11)</f>
        <v>0</v>
      </c>
      <c r="Q11" s="91">
        <f>COUNTIFS(Города!$C:$C,Q$1,Города!$K:$K,$A11)</f>
        <v>0</v>
      </c>
      <c r="R11" s="91">
        <f>COUNTIFS(Города!$C:$C,R$1,Города!$K:$K,$A11)</f>
        <v>0</v>
      </c>
      <c r="S11" s="91">
        <f>COUNTIFS(Города!$C:$C,S$1,Города!$K:$K,$A11)</f>
        <v>0</v>
      </c>
      <c r="T11" s="91">
        <f>COUNTIFS(Города!$C:$C,T$1,Города!$K:$K,$A11)</f>
        <v>0</v>
      </c>
      <c r="U11" s="91">
        <f>COUNTIFS(Города!$C:$C,U$1,Города!$K:$K,$A11)</f>
        <v>0</v>
      </c>
      <c r="V11" s="91">
        <f>COUNTIFS(Города!$C:$C,V$1,Города!$K:$K,$A11)</f>
        <v>0</v>
      </c>
    </row>
    <row r="12" spans="1:22" x14ac:dyDescent="0.25">
      <c r="A12" s="15" t="s">
        <v>240</v>
      </c>
      <c r="B12" s="40">
        <v>2</v>
      </c>
      <c r="C12" s="259" t="str">
        <f>IF(ISERROR(VLOOKUP(Чудеса!A12,Города!K$2:AP$99,32,0)),0,VLOOKUP(Чудеса!A12,Города!K$2:AP$99,32,0))</f>
        <v>Египет</v>
      </c>
      <c r="D12" s="226">
        <f ca="1">IF(C12&gt;0,IF(B12+1&lt;VLOOKUP(C12,Нации!B$3:AL$10,37,0),0,1),0)</f>
        <v>1</v>
      </c>
      <c r="E12" s="226">
        <f ca="1">COUNTIFS(Города!C:C,C12,Города!K:K,Чудеса!A12)*D12</f>
        <v>1</v>
      </c>
      <c r="F12" s="40">
        <f t="shared" ca="1" si="1"/>
        <v>0</v>
      </c>
      <c r="G12" s="15" t="s">
        <v>245</v>
      </c>
      <c r="H12" s="15">
        <v>1</v>
      </c>
      <c r="I12" s="15"/>
      <c r="J12" s="15"/>
      <c r="K12" s="15"/>
      <c r="L12" s="15"/>
      <c r="M12" s="15"/>
      <c r="N12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2" s="91">
        <f>COUNTIFS(Города!$C:$C,O$1,Города!$K:$K,$A12)</f>
        <v>0</v>
      </c>
      <c r="P12" s="91">
        <f>COUNTIFS(Города!$C:$C,P$1,Города!$K:$K,$A12)</f>
        <v>0</v>
      </c>
      <c r="Q12" s="91">
        <f>COUNTIFS(Города!$C:$C,Q$1,Города!$K:$K,$A12)</f>
        <v>0</v>
      </c>
      <c r="R12" s="91">
        <f>COUNTIFS(Города!$C:$C,R$1,Города!$K:$K,$A12)</f>
        <v>0</v>
      </c>
      <c r="S12" s="91">
        <f>COUNTIFS(Города!$C:$C,S$1,Города!$K:$K,$A12)</f>
        <v>0</v>
      </c>
      <c r="T12" s="91">
        <f>COUNTIFS(Города!$C:$C,T$1,Города!$K:$K,$A12)</f>
        <v>0</v>
      </c>
      <c r="U12" s="91">
        <f>COUNTIFS(Города!$C:$C,U$1,Города!$K:$K,$A12)</f>
        <v>1</v>
      </c>
      <c r="V12" s="91">
        <f>COUNTIFS(Города!$C:$C,V$1,Города!$K:$K,$A12)</f>
        <v>0</v>
      </c>
    </row>
    <row r="13" spans="1:22" x14ac:dyDescent="0.25">
      <c r="A13" s="15" t="s">
        <v>241</v>
      </c>
      <c r="B13" s="40">
        <v>2</v>
      </c>
      <c r="C13" s="259">
        <f>IF(ISERROR(VLOOKUP(Чудеса!A13,Города!K$2:AP$99,32,0)),0,VLOOKUP(Чудеса!A13,Города!K$2:AP$99,32,0))</f>
        <v>0</v>
      </c>
      <c r="D13" s="226">
        <f>IF(C13&gt;0,IF(B13+1&lt;VLOOKUP(C13,Нации!B$3:AL$10,37,0),0,1),0)</f>
        <v>0</v>
      </c>
      <c r="E13" s="226">
        <f>COUNTIFS(Города!C:C,C13,Города!K:K,Чудеса!A13)*D13</f>
        <v>0</v>
      </c>
      <c r="F13" s="40">
        <f t="shared" si="1"/>
        <v>0</v>
      </c>
      <c r="G13" s="15" t="s">
        <v>246</v>
      </c>
      <c r="H13" s="15">
        <v>0</v>
      </c>
      <c r="I13" s="15"/>
      <c r="J13" s="15"/>
      <c r="K13" s="15"/>
      <c r="L13" s="15"/>
      <c r="M13" s="15"/>
      <c r="N13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3" s="91">
        <f>COUNTIFS(Города!$C:$C,O$1,Города!$K:$K,$A13)</f>
        <v>0</v>
      </c>
      <c r="P13" s="91">
        <f>COUNTIFS(Города!$C:$C,P$1,Города!$K:$K,$A13)</f>
        <v>0</v>
      </c>
      <c r="Q13" s="91">
        <f>COUNTIFS(Города!$C:$C,Q$1,Города!$K:$K,$A13)</f>
        <v>0</v>
      </c>
      <c r="R13" s="91">
        <f>COUNTIFS(Города!$C:$C,R$1,Города!$K:$K,$A13)</f>
        <v>0</v>
      </c>
      <c r="S13" s="91">
        <f>COUNTIFS(Города!$C:$C,S$1,Города!$K:$K,$A13)</f>
        <v>0</v>
      </c>
      <c r="T13" s="91">
        <f>COUNTIFS(Города!$C:$C,T$1,Города!$K:$K,$A13)</f>
        <v>0</v>
      </c>
      <c r="U13" s="91">
        <f>COUNTIFS(Города!$C:$C,U$1,Города!$K:$K,$A13)</f>
        <v>0</v>
      </c>
      <c r="V13" s="91">
        <f>COUNTIFS(Города!$C:$C,V$1,Города!$K:$K,$A13)</f>
        <v>0</v>
      </c>
    </row>
    <row r="14" spans="1:22" x14ac:dyDescent="0.25">
      <c r="A14" s="15" t="s">
        <v>242</v>
      </c>
      <c r="B14" s="40">
        <v>2</v>
      </c>
      <c r="C14" s="259">
        <f>IF(ISERROR(VLOOKUP(Чудеса!A14,Города!K$2:AP$99,32,0)),0,VLOOKUP(Чудеса!A14,Города!K$2:AP$99,32,0))</f>
        <v>0</v>
      </c>
      <c r="D14" s="226">
        <f>IF(C14&gt;0,IF(B14+1&lt;VLOOKUP(C14,Нации!B$3:AL$10,37,0),0,1),0)</f>
        <v>0</v>
      </c>
      <c r="E14" s="226">
        <f>COUNTIFS(Города!C:C,C14,Города!K:K,Чудеса!A14)*D14</f>
        <v>0</v>
      </c>
      <c r="F14" s="40">
        <f t="shared" si="1"/>
        <v>0</v>
      </c>
      <c r="G14" s="15" t="s">
        <v>247</v>
      </c>
      <c r="H14" s="15">
        <v>1</v>
      </c>
      <c r="I14" s="15"/>
      <c r="J14" s="15"/>
      <c r="K14" s="15"/>
      <c r="L14" s="15"/>
      <c r="M14" s="15"/>
      <c r="N14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4" s="91">
        <f>COUNTIFS(Города!$C:$C,O$1,Города!$K:$K,$A14)</f>
        <v>0</v>
      </c>
      <c r="P14" s="91">
        <f>COUNTIFS(Города!$C:$C,P$1,Города!$K:$K,$A14)</f>
        <v>0</v>
      </c>
      <c r="Q14" s="91">
        <f>COUNTIFS(Города!$C:$C,Q$1,Города!$K:$K,$A14)</f>
        <v>0</v>
      </c>
      <c r="R14" s="91">
        <f>COUNTIFS(Города!$C:$C,R$1,Города!$K:$K,$A14)</f>
        <v>0</v>
      </c>
      <c r="S14" s="91">
        <f>COUNTIFS(Города!$C:$C,S$1,Города!$K:$K,$A14)</f>
        <v>0</v>
      </c>
      <c r="T14" s="91">
        <f>COUNTIFS(Города!$C:$C,T$1,Города!$K:$K,$A14)</f>
        <v>0</v>
      </c>
      <c r="U14" s="91">
        <f>COUNTIFS(Города!$C:$C,U$1,Города!$K:$K,$A14)</f>
        <v>0</v>
      </c>
      <c r="V14" s="91">
        <f>COUNTIFS(Города!$C:$C,V$1,Города!$K:$K,$A14)</f>
        <v>0</v>
      </c>
    </row>
    <row r="15" spans="1:22" x14ac:dyDescent="0.25">
      <c r="A15" s="15" t="s">
        <v>248</v>
      </c>
      <c r="B15" s="40">
        <v>3</v>
      </c>
      <c r="C15" s="259">
        <f>IF(ISERROR(VLOOKUP(Чудеса!A15,Города!K$2:AP$99,32,0)),0,VLOOKUP(Чудеса!A15,Города!K$2:AP$99,32,0))</f>
        <v>0</v>
      </c>
      <c r="D15" s="226">
        <f>IF(C15&gt;0,IF(B15+1&lt;VLOOKUP(C15,Нации!B$3:AL$10,37,0),0,1),0)</f>
        <v>0</v>
      </c>
      <c r="E15" s="226">
        <f>COUNTIFS(Города!C:C,C15,Города!K:K,Чудеса!A15)*D15</f>
        <v>0</v>
      </c>
      <c r="F15" s="40">
        <f t="shared" si="1"/>
        <v>0</v>
      </c>
      <c r="G15" s="15" t="s">
        <v>255</v>
      </c>
      <c r="H15" s="15">
        <v>1</v>
      </c>
      <c r="I15" s="15"/>
      <c r="J15" s="15"/>
      <c r="K15" s="15"/>
      <c r="L15" s="15"/>
      <c r="M15" s="15">
        <v>1</v>
      </c>
      <c r="N15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5" s="91">
        <f>COUNTIFS(Города!$C:$C,O$1,Города!$K:$K,$A15)</f>
        <v>0</v>
      </c>
      <c r="P15" s="91">
        <f>COUNTIFS(Города!$C:$C,P$1,Города!$K:$K,$A15)</f>
        <v>0</v>
      </c>
      <c r="Q15" s="91">
        <f>COUNTIFS(Города!$C:$C,Q$1,Города!$K:$K,$A15)</f>
        <v>0</v>
      </c>
      <c r="R15" s="91">
        <f>COUNTIFS(Города!$C:$C,R$1,Города!$K:$K,$A15)</f>
        <v>0</v>
      </c>
      <c r="S15" s="91">
        <f>COUNTIFS(Города!$C:$C,S$1,Города!$K:$K,$A15)</f>
        <v>0</v>
      </c>
      <c r="T15" s="91">
        <f>COUNTIFS(Города!$C:$C,T$1,Города!$K:$K,$A15)</f>
        <v>0</v>
      </c>
      <c r="U15" s="91">
        <f>COUNTIFS(Города!$C:$C,U$1,Города!$K:$K,$A15)</f>
        <v>0</v>
      </c>
      <c r="V15" s="91">
        <f>COUNTIFS(Города!$C:$C,V$1,Города!$K:$K,$A15)</f>
        <v>0</v>
      </c>
    </row>
    <row r="16" spans="1:22" x14ac:dyDescent="0.25">
      <c r="A16" s="15" t="s">
        <v>249</v>
      </c>
      <c r="B16" s="40">
        <v>3</v>
      </c>
      <c r="C16" s="259">
        <f>IF(ISERROR(VLOOKUP(Чудеса!A16,Города!K$2:AP$99,32,0)),0,VLOOKUP(Чудеса!A16,Города!K$2:AP$99,32,0))</f>
        <v>0</v>
      </c>
      <c r="D16" s="226">
        <f>IF(C16&gt;0,IF(B16+1&lt;VLOOKUP(C16,Нации!B$3:AL$10,37,0),0,1),0)</f>
        <v>0</v>
      </c>
      <c r="E16" s="226">
        <f>COUNTIFS(Города!C:C,C16,Города!K:K,Чудеса!A16)*D16</f>
        <v>0</v>
      </c>
      <c r="F16" s="40">
        <f t="shared" si="1"/>
        <v>0</v>
      </c>
      <c r="G16" s="15" t="s">
        <v>254</v>
      </c>
      <c r="H16" s="15">
        <v>1</v>
      </c>
      <c r="I16" s="15"/>
      <c r="J16" s="15"/>
      <c r="K16" s="15"/>
      <c r="L16" s="15"/>
      <c r="M16" s="15"/>
      <c r="N16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6" s="91">
        <f>COUNTIFS(Города!$C:$C,O$1,Города!$K:$K,$A16)</f>
        <v>0</v>
      </c>
      <c r="P16" s="91">
        <f>COUNTIFS(Города!$C:$C,P$1,Города!$K:$K,$A16)</f>
        <v>0</v>
      </c>
      <c r="Q16" s="91">
        <f>COUNTIFS(Города!$C:$C,Q$1,Города!$K:$K,$A16)</f>
        <v>0</v>
      </c>
      <c r="R16" s="91">
        <f>COUNTIFS(Города!$C:$C,R$1,Города!$K:$K,$A16)</f>
        <v>0</v>
      </c>
      <c r="S16" s="91">
        <f>COUNTIFS(Города!$C:$C,S$1,Города!$K:$K,$A16)</f>
        <v>0</v>
      </c>
      <c r="T16" s="91">
        <f>COUNTIFS(Города!$C:$C,T$1,Города!$K:$K,$A16)</f>
        <v>0</v>
      </c>
      <c r="U16" s="91">
        <f>COUNTIFS(Города!$C:$C,U$1,Города!$K:$K,$A16)</f>
        <v>0</v>
      </c>
      <c r="V16" s="91">
        <f>COUNTIFS(Города!$C:$C,V$1,Города!$K:$K,$A16)</f>
        <v>0</v>
      </c>
    </row>
    <row r="17" spans="1:22" x14ac:dyDescent="0.25">
      <c r="A17" s="15" t="s">
        <v>250</v>
      </c>
      <c r="B17" s="40">
        <v>3</v>
      </c>
      <c r="C17" s="259">
        <f>IF(ISERROR(VLOOKUP(Чудеса!A17,Города!K$2:AP$99,32,0)),0,VLOOKUP(Чудеса!A17,Города!K$2:AP$99,32,0))</f>
        <v>0</v>
      </c>
      <c r="D17" s="226">
        <f>IF(C17&gt;0,IF(B17+1&lt;VLOOKUP(C17,Нации!B$3:AL$10,37,0),0,1),0)</f>
        <v>0</v>
      </c>
      <c r="E17" s="226">
        <f>COUNTIFS(Города!C:C,C17,Города!K:K,Чудеса!A17)*D17</f>
        <v>0</v>
      </c>
      <c r="F17" s="40">
        <f t="shared" si="1"/>
        <v>0</v>
      </c>
      <c r="G17" s="15" t="s">
        <v>257</v>
      </c>
      <c r="H17" s="15">
        <v>0</v>
      </c>
      <c r="I17" s="15"/>
      <c r="J17" s="15"/>
      <c r="K17" s="15"/>
      <c r="L17" s="15"/>
      <c r="M17" s="15">
        <v>1</v>
      </c>
      <c r="N17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7" s="91">
        <f>COUNTIFS(Города!$C:$C,O$1,Города!$K:$K,$A17)</f>
        <v>0</v>
      </c>
      <c r="P17" s="91">
        <f>COUNTIFS(Города!$C:$C,P$1,Города!$K:$K,$A17)</f>
        <v>0</v>
      </c>
      <c r="Q17" s="91">
        <f>COUNTIFS(Города!$C:$C,Q$1,Города!$K:$K,$A17)</f>
        <v>0</v>
      </c>
      <c r="R17" s="91">
        <f>COUNTIFS(Города!$C:$C,R$1,Города!$K:$K,$A17)</f>
        <v>0</v>
      </c>
      <c r="S17" s="91">
        <f>COUNTIFS(Города!$C:$C,S$1,Города!$K:$K,$A17)</f>
        <v>0</v>
      </c>
      <c r="T17" s="91">
        <f>COUNTIFS(Города!$C:$C,T$1,Города!$K:$K,$A17)</f>
        <v>0</v>
      </c>
      <c r="U17" s="91">
        <f>COUNTIFS(Города!$C:$C,U$1,Города!$K:$K,$A17)</f>
        <v>0</v>
      </c>
      <c r="V17" s="91">
        <f>COUNTIFS(Города!$C:$C,V$1,Города!$K:$K,$A17)</f>
        <v>0</v>
      </c>
    </row>
    <row r="18" spans="1:22" x14ac:dyDescent="0.25">
      <c r="A18" s="15" t="s">
        <v>251</v>
      </c>
      <c r="B18" s="40">
        <v>3</v>
      </c>
      <c r="C18" s="226">
        <f>IF(ISERROR(VLOOKUP(Чудеса!A18,Города!K$2:AP$99,32,0)),0,VLOOKUP(Чудеса!A18,Города!K$2:AP$99,32,0))</f>
        <v>0</v>
      </c>
      <c r="D18" s="226">
        <f>IF(C18&gt;0,IF(B18+1&lt;VLOOKUP(C18,Нации!B$3:AL$10,37,0),0,1),0)</f>
        <v>0</v>
      </c>
      <c r="E18" s="226">
        <f>COUNTIFS(Города!C:C,C18,Города!K:K,Чудеса!A18)*D18</f>
        <v>0</v>
      </c>
      <c r="F18" s="40">
        <f t="shared" si="1"/>
        <v>0</v>
      </c>
      <c r="G18" s="15" t="s">
        <v>259</v>
      </c>
      <c r="H18" s="15">
        <v>0</v>
      </c>
      <c r="I18" s="15"/>
      <c r="J18" s="15"/>
      <c r="K18" s="15">
        <v>1</v>
      </c>
      <c r="L18" s="15"/>
      <c r="M18" s="15"/>
      <c r="N18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8" s="91">
        <f>COUNTIFS(Города!$C:$C,O$1,Города!$K:$K,$A18)</f>
        <v>0</v>
      </c>
      <c r="P18" s="91">
        <f>COUNTIFS(Города!$C:$C,P$1,Города!$K:$K,$A18)</f>
        <v>0</v>
      </c>
      <c r="Q18" s="91">
        <f>COUNTIFS(Города!$C:$C,Q$1,Города!$K:$K,$A18)</f>
        <v>0</v>
      </c>
      <c r="R18" s="91">
        <f>COUNTIFS(Города!$C:$C,R$1,Города!$K:$K,$A18)</f>
        <v>0</v>
      </c>
      <c r="S18" s="91">
        <f>COUNTIFS(Города!$C:$C,S$1,Города!$K:$K,$A18)</f>
        <v>0</v>
      </c>
      <c r="T18" s="91">
        <f>COUNTIFS(Города!$C:$C,T$1,Города!$K:$K,$A18)</f>
        <v>0</v>
      </c>
      <c r="U18" s="91">
        <f>COUNTIFS(Города!$C:$C,U$1,Города!$K:$K,$A18)</f>
        <v>0</v>
      </c>
      <c r="V18" s="91">
        <f>COUNTIFS(Города!$C:$C,V$1,Города!$K:$K,$A18)</f>
        <v>0</v>
      </c>
    </row>
    <row r="19" spans="1:22" x14ac:dyDescent="0.25">
      <c r="A19" s="15" t="s">
        <v>252</v>
      </c>
      <c r="B19" s="40">
        <v>3</v>
      </c>
      <c r="C19" s="259">
        <f>IF(ISERROR(VLOOKUP(Чудеса!A19,Города!K$2:AP$99,32,0)),0,VLOOKUP(Чудеса!A19,Города!K$2:AP$99,32,0))</f>
        <v>0</v>
      </c>
      <c r="D19" s="226">
        <f>IF(C19&gt;0,IF(B19+1&lt;VLOOKUP(C19,Нации!B$3:AL$10,37,0),0,1),0)</f>
        <v>0</v>
      </c>
      <c r="E19" s="226">
        <f>COUNTIFS(Города!C:C,C19,Города!K:K,Чудеса!A19)*D19</f>
        <v>0</v>
      </c>
      <c r="F19" s="40">
        <f t="shared" si="1"/>
        <v>0</v>
      </c>
      <c r="G19" s="15" t="s">
        <v>260</v>
      </c>
      <c r="H19" s="15">
        <v>0</v>
      </c>
      <c r="I19" s="15"/>
      <c r="J19" s="15"/>
      <c r="K19" s="15"/>
      <c r="L19" s="15"/>
      <c r="M19" s="15"/>
      <c r="N19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19" s="91">
        <f>COUNTIFS(Города!$C:$C,O$1,Города!$K:$K,$A19)</f>
        <v>0</v>
      </c>
      <c r="P19" s="91">
        <f>COUNTIFS(Города!$C:$C,P$1,Города!$K:$K,$A19)</f>
        <v>0</v>
      </c>
      <c r="Q19" s="91">
        <f>COUNTIFS(Города!$C:$C,Q$1,Города!$K:$K,$A19)</f>
        <v>0</v>
      </c>
      <c r="R19" s="91">
        <f>COUNTIFS(Города!$C:$C,R$1,Города!$K:$K,$A19)</f>
        <v>0</v>
      </c>
      <c r="S19" s="91">
        <f>COUNTIFS(Города!$C:$C,S$1,Города!$K:$K,$A19)</f>
        <v>0</v>
      </c>
      <c r="T19" s="91">
        <f>COUNTIFS(Города!$C:$C,T$1,Города!$K:$K,$A19)</f>
        <v>0</v>
      </c>
      <c r="U19" s="91">
        <f>COUNTIFS(Города!$C:$C,U$1,Города!$K:$K,$A19)</f>
        <v>0</v>
      </c>
      <c r="V19" s="91">
        <f>COUNTIFS(Города!$C:$C,V$1,Города!$K:$K,$A19)</f>
        <v>0</v>
      </c>
    </row>
    <row r="20" spans="1:22" x14ac:dyDescent="0.25">
      <c r="A20" s="15" t="s">
        <v>261</v>
      </c>
      <c r="B20" s="40">
        <v>4</v>
      </c>
      <c r="C20" s="259" t="str">
        <f>IF(ISERROR(VLOOKUP(Чудеса!A20,Города!K$2:AP$99,32,0)),0,VLOOKUP(Чудеса!A20,Города!K$2:AP$99,32,0))</f>
        <v>Поднебесная</v>
      </c>
      <c r="D20" s="226">
        <f ca="1">IF(C20&gt;0,IF(B20+1&lt;VLOOKUP(C20,Нации!B$3:AL$10,37,0),0,1),0)</f>
        <v>1</v>
      </c>
      <c r="E20" s="226">
        <f ca="1">COUNTIFS(Города!C:C,C20,Города!K:K,Чудеса!A20)*D20</f>
        <v>1</v>
      </c>
      <c r="F20" s="40">
        <f t="shared" ca="1" si="1"/>
        <v>1</v>
      </c>
      <c r="G20" s="15" t="s">
        <v>265</v>
      </c>
      <c r="H20" s="15">
        <v>0</v>
      </c>
      <c r="I20" s="15"/>
      <c r="J20" s="15"/>
      <c r="K20" s="15"/>
      <c r="L20" s="15"/>
      <c r="M20" s="15"/>
      <c r="N20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науки;[br]-  +2 голоса в ООН, минимум +1 ПО;</v>
      </c>
      <c r="O20" s="91">
        <f>COUNTIFS(Города!$C:$C,O$1,Города!$K:$K,$A20)</f>
        <v>0</v>
      </c>
      <c r="P20" s="91">
        <f>COUNTIFS(Города!$C:$C,P$1,Города!$K:$K,$A20)</f>
        <v>0</v>
      </c>
      <c r="Q20" s="91">
        <f>COUNTIFS(Города!$C:$C,Q$1,Города!$K:$K,$A20)</f>
        <v>0</v>
      </c>
      <c r="R20" s="91">
        <f>COUNTIFS(Города!$C:$C,R$1,Города!$K:$K,$A20)</f>
        <v>0</v>
      </c>
      <c r="S20" s="91">
        <f>COUNTIFS(Города!$C:$C,S$1,Города!$K:$K,$A20)</f>
        <v>1</v>
      </c>
      <c r="T20" s="91">
        <f>COUNTIFS(Города!$C:$C,T$1,Города!$K:$K,$A20)</f>
        <v>0</v>
      </c>
      <c r="U20" s="91">
        <f>COUNTIFS(Города!$C:$C,U$1,Города!$K:$K,$A20)</f>
        <v>0</v>
      </c>
      <c r="V20" s="91">
        <f>COUNTIFS(Города!$C:$C,V$1,Города!$K:$K,$A20)</f>
        <v>0</v>
      </c>
    </row>
    <row r="21" spans="1:22" x14ac:dyDescent="0.25">
      <c r="A21" s="15" t="s">
        <v>262</v>
      </c>
      <c r="B21" s="40">
        <v>4</v>
      </c>
      <c r="C21" s="259" t="str">
        <f>IF(ISERROR(VLOOKUP(Чудеса!A21,Города!K$2:AP$99,32,0)),0,VLOOKUP(Чудеса!A21,Города!K$2:AP$99,32,0))</f>
        <v>Поднебесная</v>
      </c>
      <c r="D21" s="226">
        <f ca="1">IF(C21&gt;0,IF(B21+1&lt;VLOOKUP(C21,Нации!B$3:AL$10,37,0),0,1),0)</f>
        <v>1</v>
      </c>
      <c r="E21" s="226">
        <f ca="1">COUNTIFS(Города!C:C,C21,Города!K:K,Чудеса!A21)*D21</f>
        <v>1</v>
      </c>
      <c r="F21" s="40">
        <f t="shared" ca="1" si="1"/>
        <v>1</v>
      </c>
      <c r="G21" s="15" t="s">
        <v>266</v>
      </c>
      <c r="H21" s="15">
        <v>0</v>
      </c>
      <c r="I21" s="15"/>
      <c r="J21" s="15"/>
      <c r="K21" s="15"/>
      <c r="L21" s="15"/>
      <c r="M21" s="15">
        <v>1</v>
      </c>
      <c r="N21" t="str">
        <f t="shared" ca="1" si="0"/>
        <v>[br]- все войска нации получают преимущество в атаке;[br]- нападение на все города владельца требует на 2 Власти больше;[br]- стоимость технологий будущего 25 вместо 30 науки;</v>
      </c>
      <c r="O21" s="91">
        <f>COUNTIFS(Города!$C:$C,O$1,Города!$K:$K,$A21)</f>
        <v>0</v>
      </c>
      <c r="P21" s="91">
        <f>COUNTIFS(Города!$C:$C,P$1,Города!$K:$K,$A21)</f>
        <v>0</v>
      </c>
      <c r="Q21" s="91">
        <f>COUNTIFS(Города!$C:$C,Q$1,Города!$K:$K,$A21)</f>
        <v>0</v>
      </c>
      <c r="R21" s="91">
        <f>COUNTIFS(Города!$C:$C,R$1,Города!$K:$K,$A21)</f>
        <v>0</v>
      </c>
      <c r="S21" s="91">
        <f>COUNTIFS(Города!$C:$C,S$1,Города!$K:$K,$A21)</f>
        <v>1</v>
      </c>
      <c r="T21" s="91">
        <f>COUNTIFS(Города!$C:$C,T$1,Города!$K:$K,$A21)</f>
        <v>0</v>
      </c>
      <c r="U21" s="91">
        <f>COUNTIFS(Города!$C:$C,U$1,Города!$K:$K,$A21)</f>
        <v>0</v>
      </c>
      <c r="V21" s="91">
        <f>COUNTIFS(Города!$C:$C,V$1,Города!$K:$K,$A21)</f>
        <v>0</v>
      </c>
    </row>
    <row r="22" spans="1:22" x14ac:dyDescent="0.25">
      <c r="A22" s="15" t="s">
        <v>263</v>
      </c>
      <c r="B22" s="40">
        <v>4</v>
      </c>
      <c r="C22" s="259" t="str">
        <f>IF(ISERROR(VLOOKUP(Чудеса!A22,Города!K$2:AP$99,32,0)),0,VLOOKUP(Чудеса!A22,Города!K$2:AP$99,32,0))</f>
        <v>Русь</v>
      </c>
      <c r="D22" s="226">
        <f ca="1">IF(C22&gt;0,IF(B22+1&lt;VLOOKUP(C22,Нации!B$3:AL$10,37,0),0,1),0)</f>
        <v>1</v>
      </c>
      <c r="E22" s="226">
        <f ca="1">COUNTIFS(Города!C:C,C22,Города!K:K,Чудеса!A22)*D22</f>
        <v>1</v>
      </c>
      <c r="F22" s="40">
        <f t="shared" ca="1" si="1"/>
        <v>1</v>
      </c>
      <c r="G22" s="15" t="s">
        <v>267</v>
      </c>
      <c r="H22" s="15">
        <v>0</v>
      </c>
      <c r="I22" s="15"/>
      <c r="J22" s="15"/>
      <c r="K22" s="15"/>
      <c r="L22" s="15"/>
      <c r="M22" s="15">
        <v>1</v>
      </c>
      <c r="N22" t="str">
        <f t="shared" ca="1" si="0"/>
        <v>[br]- все войска нации получают преимущество в атаке;[br]- нападение на все города владельца требует на 2 Власти больше;</v>
      </c>
      <c r="O22" s="91">
        <f>COUNTIFS(Города!$C:$C,O$1,Города!$K:$K,$A22)</f>
        <v>1</v>
      </c>
      <c r="P22" s="91">
        <f>COUNTIFS(Города!$C:$C,P$1,Города!$K:$K,$A22)</f>
        <v>0</v>
      </c>
      <c r="Q22" s="91">
        <f>COUNTIFS(Города!$C:$C,Q$1,Города!$K:$K,$A22)</f>
        <v>0</v>
      </c>
      <c r="R22" s="91">
        <f>COUNTIFS(Города!$C:$C,R$1,Города!$K:$K,$A22)</f>
        <v>0</v>
      </c>
      <c r="S22" s="91">
        <f>COUNTIFS(Города!$C:$C,S$1,Города!$K:$K,$A22)</f>
        <v>0</v>
      </c>
      <c r="T22" s="91">
        <f>COUNTIFS(Города!$C:$C,T$1,Города!$K:$K,$A22)</f>
        <v>0</v>
      </c>
      <c r="U22" s="91">
        <f>COUNTIFS(Города!$C:$C,U$1,Города!$K:$K,$A22)</f>
        <v>0</v>
      </c>
      <c r="V22" s="91">
        <f>COUNTIFS(Города!$C:$C,V$1,Города!$K:$K,$A22)</f>
        <v>0</v>
      </c>
    </row>
    <row r="23" spans="1:22" x14ac:dyDescent="0.25">
      <c r="A23" s="15" t="s">
        <v>264</v>
      </c>
      <c r="B23" s="40">
        <v>4</v>
      </c>
      <c r="C23" s="259" t="str">
        <f>IF(ISERROR(VLOOKUP(Чудеса!A23,Города!K$2:AP$99,32,0)),0,VLOOKUP(Чудеса!A23,Города!K$2:AP$99,32,0))</f>
        <v>Русь</v>
      </c>
      <c r="D23" s="226">
        <f ca="1">IF(C23&gt;0,IF(B23+1&lt;VLOOKUP(C23,Нации!B$3:AL$10,37,0),0,1),0)</f>
        <v>1</v>
      </c>
      <c r="E23" s="226">
        <f ca="1">COUNTIFS(Города!C:C,C23,Города!K:K,Чудеса!A23)*D23</f>
        <v>1</v>
      </c>
      <c r="F23" s="40">
        <f t="shared" ca="1" si="1"/>
        <v>1</v>
      </c>
      <c r="G23" s="15" t="s">
        <v>510</v>
      </c>
      <c r="H23" s="15">
        <v>0</v>
      </c>
      <c r="I23" s="15"/>
      <c r="J23" s="15"/>
      <c r="K23" s="15"/>
      <c r="L23" s="15">
        <v>1</v>
      </c>
      <c r="M23" s="15">
        <v>1</v>
      </c>
      <c r="N23" t="str">
        <f t="shared" ca="1" si="0"/>
        <v>[br]- все войска нации получают преимущество в атаке;</v>
      </c>
      <c r="O23" s="91">
        <f>COUNTIFS(Города!$C:$C,O$1,Города!$K:$K,$A23)</f>
        <v>1</v>
      </c>
      <c r="P23" s="91">
        <f>COUNTIFS(Города!$C:$C,P$1,Города!$K:$K,$A23)</f>
        <v>0</v>
      </c>
      <c r="Q23" s="91">
        <f>COUNTIFS(Города!$C:$C,Q$1,Города!$K:$K,$A23)</f>
        <v>0</v>
      </c>
      <c r="R23" s="91">
        <f>COUNTIFS(Города!$C:$C,R$1,Города!$K:$K,$A23)</f>
        <v>0</v>
      </c>
      <c r="S23" s="91">
        <f>COUNTIFS(Города!$C:$C,S$1,Города!$K:$K,$A23)</f>
        <v>0</v>
      </c>
      <c r="T23" s="91">
        <f>COUNTIFS(Города!$C:$C,T$1,Города!$K:$K,$A23)</f>
        <v>0</v>
      </c>
      <c r="U23" s="91">
        <f>COUNTIFS(Города!$C:$C,U$1,Города!$K:$K,$A23)</f>
        <v>0</v>
      </c>
      <c r="V23" s="91">
        <f>COUNTIFS(Города!$C:$C,V$1,Города!$K:$K,$A23)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workbookViewId="0">
      <selection activeCell="G35" sqref="G35"/>
    </sheetView>
  </sheetViews>
  <sheetFormatPr defaultRowHeight="15" x14ac:dyDescent="0.25"/>
  <cols>
    <col min="1" max="1" width="8.28515625" bestFit="1" customWidth="1"/>
    <col min="2" max="2" width="21" bestFit="1" customWidth="1"/>
    <col min="15" max="15" width="9.85546875" style="137" customWidth="1"/>
    <col min="16" max="17" width="9.140625" style="137"/>
    <col min="18" max="18" width="9.85546875" bestFit="1" customWidth="1"/>
    <col min="20" max="20" width="10.28515625" bestFit="1" customWidth="1"/>
  </cols>
  <sheetData>
    <row r="1" spans="1:18" x14ac:dyDescent="0.25">
      <c r="A1" s="15" t="s">
        <v>36</v>
      </c>
      <c r="C1" s="15" t="s">
        <v>227</v>
      </c>
      <c r="H1" t="s">
        <v>276</v>
      </c>
      <c r="N1" s="290" t="s">
        <v>380</v>
      </c>
      <c r="O1" s="291"/>
      <c r="P1" s="233"/>
      <c r="Q1" s="233"/>
      <c r="R1" s="234"/>
    </row>
    <row r="2" spans="1:18" x14ac:dyDescent="0.25">
      <c r="A2" s="15" t="s">
        <v>19</v>
      </c>
      <c r="C2" s="15" t="s">
        <v>226</v>
      </c>
      <c r="D2">
        <v>1</v>
      </c>
      <c r="H2" s="47" t="s">
        <v>165</v>
      </c>
      <c r="I2" s="15">
        <v>2</v>
      </c>
      <c r="L2" s="15" t="s">
        <v>366</v>
      </c>
      <c r="N2" s="15">
        <v>0</v>
      </c>
      <c r="O2" s="209">
        <v>1000</v>
      </c>
      <c r="P2"/>
      <c r="Q2"/>
    </row>
    <row r="3" spans="1:18" x14ac:dyDescent="0.25">
      <c r="A3" s="15" t="s">
        <v>20</v>
      </c>
      <c r="C3" s="15" t="s">
        <v>228</v>
      </c>
      <c r="D3">
        <v>2</v>
      </c>
      <c r="H3" s="47" t="s">
        <v>166</v>
      </c>
      <c r="I3" s="15">
        <v>4</v>
      </c>
      <c r="L3" s="15" t="s">
        <v>367</v>
      </c>
      <c r="N3" s="15">
        <f>N2+1</f>
        <v>1</v>
      </c>
      <c r="O3" s="209">
        <f t="shared" ref="O3:O5" si="0">O2*5</f>
        <v>5000</v>
      </c>
      <c r="P3"/>
      <c r="Q3"/>
    </row>
    <row r="4" spans="1:18" x14ac:dyDescent="0.25">
      <c r="A4" s="15" t="s">
        <v>21</v>
      </c>
      <c r="C4" s="15" t="s">
        <v>229</v>
      </c>
      <c r="D4">
        <v>3</v>
      </c>
      <c r="H4" s="47" t="s">
        <v>191</v>
      </c>
      <c r="I4" s="15">
        <v>2</v>
      </c>
      <c r="L4" s="15" t="s">
        <v>368</v>
      </c>
      <c r="N4" s="15">
        <f t="shared" ref="N4:N8" si="1">N3+1</f>
        <v>2</v>
      </c>
      <c r="O4" s="209">
        <f t="shared" si="0"/>
        <v>25000</v>
      </c>
      <c r="P4"/>
      <c r="Q4"/>
    </row>
    <row r="5" spans="1:18" x14ac:dyDescent="0.25">
      <c r="A5" s="15" t="s">
        <v>22</v>
      </c>
      <c r="C5" s="15" t="s">
        <v>230</v>
      </c>
      <c r="D5">
        <v>4</v>
      </c>
      <c r="H5" s="47" t="s">
        <v>192</v>
      </c>
      <c r="I5" s="15">
        <v>2</v>
      </c>
      <c r="N5" s="15">
        <f t="shared" si="1"/>
        <v>3</v>
      </c>
      <c r="O5" s="209">
        <f t="shared" si="0"/>
        <v>125000</v>
      </c>
      <c r="P5"/>
      <c r="Q5"/>
    </row>
    <row r="6" spans="1:18" x14ac:dyDescent="0.25">
      <c r="A6" s="15" t="s">
        <v>23</v>
      </c>
      <c r="C6" s="15" t="s">
        <v>231</v>
      </c>
      <c r="D6">
        <v>5</v>
      </c>
      <c r="H6" s="79" t="s">
        <v>280</v>
      </c>
      <c r="I6" s="80">
        <v>4</v>
      </c>
      <c r="N6" s="15">
        <f t="shared" si="1"/>
        <v>4</v>
      </c>
      <c r="O6" s="209">
        <f>O5*5</f>
        <v>625000</v>
      </c>
      <c r="P6"/>
      <c r="Q6"/>
    </row>
    <row r="7" spans="1:18" x14ac:dyDescent="0.25">
      <c r="A7" s="15" t="s">
        <v>38</v>
      </c>
      <c r="N7" s="15">
        <f t="shared" si="1"/>
        <v>5</v>
      </c>
      <c r="O7" s="209">
        <f>O6*5</f>
        <v>3125000</v>
      </c>
      <c r="P7"/>
      <c r="Q7"/>
    </row>
    <row r="8" spans="1:18" x14ac:dyDescent="0.25">
      <c r="A8" s="15" t="s">
        <v>24</v>
      </c>
      <c r="N8" s="15">
        <f t="shared" si="1"/>
        <v>6</v>
      </c>
      <c r="O8" s="209">
        <f t="shared" ref="O8" si="2">O7*5</f>
        <v>15625000</v>
      </c>
      <c r="P8"/>
      <c r="Q8"/>
    </row>
    <row r="9" spans="1:18" x14ac:dyDescent="0.25">
      <c r="A9" s="15" t="s">
        <v>25</v>
      </c>
    </row>
    <row r="10" spans="1:18" x14ac:dyDescent="0.25">
      <c r="B10" s="2"/>
      <c r="C10" t="s">
        <v>37</v>
      </c>
    </row>
    <row r="12" spans="1:18" x14ac:dyDescent="0.25">
      <c r="A12" s="15"/>
      <c r="B12" s="15" t="s">
        <v>134</v>
      </c>
      <c r="C12" s="15"/>
      <c r="D12" s="15"/>
      <c r="E12" s="15"/>
      <c r="F12" s="15"/>
    </row>
    <row r="13" spans="1:18" x14ac:dyDescent="0.25">
      <c r="A13" s="15" t="s">
        <v>153</v>
      </c>
      <c r="B13" s="15" t="s">
        <v>160</v>
      </c>
      <c r="C13" s="15" t="s">
        <v>135</v>
      </c>
      <c r="D13" s="15" t="s">
        <v>136</v>
      </c>
      <c r="E13" s="15" t="s">
        <v>137</v>
      </c>
      <c r="F13" s="15" t="s">
        <v>133</v>
      </c>
    </row>
    <row r="14" spans="1:18" x14ac:dyDescent="0.25">
      <c r="A14" s="15" t="s">
        <v>156</v>
      </c>
      <c r="B14" s="15" t="s">
        <v>159</v>
      </c>
      <c r="C14" s="15" t="s">
        <v>138</v>
      </c>
      <c r="D14" s="15" t="s">
        <v>139</v>
      </c>
      <c r="E14" s="15" t="s">
        <v>140</v>
      </c>
      <c r="F14" s="15" t="s">
        <v>141</v>
      </c>
    </row>
    <row r="15" spans="1:18" x14ac:dyDescent="0.25">
      <c r="A15" s="15" t="s">
        <v>157</v>
      </c>
      <c r="B15" s="15" t="s">
        <v>161</v>
      </c>
      <c r="C15" s="15" t="s">
        <v>142</v>
      </c>
      <c r="D15" s="15" t="s">
        <v>143</v>
      </c>
      <c r="E15" s="15" t="s">
        <v>144</v>
      </c>
      <c r="F15" s="15" t="s">
        <v>145</v>
      </c>
    </row>
    <row r="16" spans="1:18" x14ac:dyDescent="0.25">
      <c r="A16" s="15" t="s">
        <v>158</v>
      </c>
      <c r="B16" s="15" t="s">
        <v>162</v>
      </c>
      <c r="C16" s="15" t="s">
        <v>146</v>
      </c>
      <c r="D16" s="15" t="s">
        <v>147</v>
      </c>
      <c r="E16" s="15" t="s">
        <v>148</v>
      </c>
      <c r="F16" s="15" t="s">
        <v>149</v>
      </c>
    </row>
    <row r="17" spans="1:21" x14ac:dyDescent="0.25">
      <c r="A17" s="15" t="s">
        <v>154</v>
      </c>
      <c r="B17" s="15" t="s">
        <v>163</v>
      </c>
      <c r="C17" s="15"/>
      <c r="D17" s="15"/>
      <c r="E17" s="15" t="s">
        <v>150</v>
      </c>
      <c r="F17" s="15" t="s">
        <v>151</v>
      </c>
    </row>
    <row r="20" spans="1:21" x14ac:dyDescent="0.25">
      <c r="A20" s="15"/>
      <c r="B20" s="15" t="s">
        <v>275</v>
      </c>
      <c r="C20" s="15"/>
      <c r="D20" s="15"/>
      <c r="E20" s="15"/>
      <c r="F20" s="15"/>
    </row>
    <row r="21" spans="1:21" x14ac:dyDescent="0.25">
      <c r="A21" s="15" t="s">
        <v>156</v>
      </c>
      <c r="B21" s="15" t="s">
        <v>167</v>
      </c>
      <c r="C21" s="15" t="s">
        <v>183</v>
      </c>
      <c r="D21" s="15" t="s">
        <v>184</v>
      </c>
      <c r="E21" s="15" t="s">
        <v>185</v>
      </c>
      <c r="F21" s="15" t="s">
        <v>186</v>
      </c>
    </row>
    <row r="22" spans="1:21" x14ac:dyDescent="0.25">
      <c r="A22" s="15" t="s">
        <v>171</v>
      </c>
      <c r="B22" s="15" t="s">
        <v>168</v>
      </c>
      <c r="C22" s="15" t="s">
        <v>179</v>
      </c>
      <c r="D22" s="15" t="s">
        <v>180</v>
      </c>
      <c r="E22" s="15" t="s">
        <v>181</v>
      </c>
      <c r="F22" s="15" t="s">
        <v>182</v>
      </c>
    </row>
    <row r="23" spans="1:21" x14ac:dyDescent="0.25">
      <c r="A23" s="15" t="s">
        <v>172</v>
      </c>
      <c r="B23" s="15" t="s">
        <v>169</v>
      </c>
      <c r="C23" s="15" t="s">
        <v>187</v>
      </c>
      <c r="D23" s="15" t="s">
        <v>188</v>
      </c>
      <c r="E23" s="15" t="s">
        <v>189</v>
      </c>
      <c r="F23" s="15" t="s">
        <v>190</v>
      </c>
    </row>
    <row r="24" spans="1:21" x14ac:dyDescent="0.25">
      <c r="A24" s="15" t="s">
        <v>173</v>
      </c>
      <c r="B24" s="15" t="s">
        <v>170</v>
      </c>
      <c r="C24" s="15" t="s">
        <v>175</v>
      </c>
      <c r="D24" s="15" t="s">
        <v>176</v>
      </c>
      <c r="E24" s="15" t="s">
        <v>177</v>
      </c>
      <c r="F24" s="15" t="s">
        <v>178</v>
      </c>
    </row>
    <row r="25" spans="1:21" x14ac:dyDescent="0.25">
      <c r="A25" s="15" t="s">
        <v>155</v>
      </c>
      <c r="B25" s="15" t="s">
        <v>44</v>
      </c>
      <c r="C25" s="15" t="s">
        <v>197</v>
      </c>
      <c r="D25" s="15" t="s">
        <v>197</v>
      </c>
      <c r="E25" s="15"/>
      <c r="F25" s="15"/>
    </row>
    <row r="26" spans="1:21" x14ac:dyDescent="0.25">
      <c r="A26" s="15"/>
      <c r="B26" s="15" t="s">
        <v>200</v>
      </c>
      <c r="C26" s="15" t="s">
        <v>200</v>
      </c>
      <c r="D26" s="15"/>
      <c r="E26" s="15"/>
      <c r="F26" s="15"/>
    </row>
    <row r="29" spans="1:21" ht="30.75" customHeight="1" x14ac:dyDescent="0.25">
      <c r="A29" s="45"/>
      <c r="B29" s="15"/>
      <c r="C29" s="15"/>
      <c r="D29" s="46" t="s">
        <v>209</v>
      </c>
      <c r="E29" s="46" t="s">
        <v>377</v>
      </c>
      <c r="F29" s="46" t="s">
        <v>210</v>
      </c>
      <c r="G29" s="46" t="s">
        <v>211</v>
      </c>
      <c r="H29" s="46" t="s">
        <v>403</v>
      </c>
      <c r="I29" s="46"/>
      <c r="J29" s="46"/>
      <c r="K29" s="46" t="s">
        <v>212</v>
      </c>
      <c r="L29" s="46" t="s">
        <v>273</v>
      </c>
      <c r="M29" s="46" t="s">
        <v>213</v>
      </c>
      <c r="N29" s="46" t="s">
        <v>214</v>
      </c>
      <c r="O29" s="46" t="s">
        <v>397</v>
      </c>
      <c r="P29" s="46" t="str">
        <f>"Бонус "&amp;L3</f>
        <v>Бонус Мн</v>
      </c>
      <c r="Q29" s="46" t="s">
        <v>399</v>
      </c>
      <c r="R29" s="46"/>
      <c r="S29" s="46"/>
      <c r="T29" s="15"/>
      <c r="U29" s="15"/>
    </row>
    <row r="30" spans="1:21" x14ac:dyDescent="0.25">
      <c r="A30" s="45">
        <v>1</v>
      </c>
      <c r="B30" s="15" t="s">
        <v>27</v>
      </c>
      <c r="C30" s="15"/>
      <c r="D30" s="15">
        <v>0</v>
      </c>
      <c r="E30" s="15">
        <v>0</v>
      </c>
      <c r="F30" s="15">
        <v>0</v>
      </c>
      <c r="G30" s="15">
        <v>1</v>
      </c>
      <c r="H30" s="15">
        <v>2</v>
      </c>
      <c r="I30" s="15"/>
      <c r="J30" s="15"/>
      <c r="K30" s="15"/>
      <c r="L30" s="15"/>
      <c r="M30" s="15"/>
      <c r="N30" s="15"/>
      <c r="O30" s="15">
        <v>1</v>
      </c>
      <c r="P30" s="15">
        <v>0</v>
      </c>
      <c r="Q30" s="15">
        <v>1</v>
      </c>
      <c r="R30" s="15" t="str">
        <f>""</f>
        <v/>
      </c>
      <c r="S30" s="15"/>
      <c r="T30" s="15"/>
      <c r="U30" s="15" t="str">
        <f t="shared" ref="U30" si="3">U29&amp;IF(S30&gt;0,IF(T30&gt;1,", ","")&amp;B30,"")</f>
        <v/>
      </c>
    </row>
    <row r="31" spans="1:21" x14ac:dyDescent="0.25">
      <c r="A31" s="45">
        <v>2</v>
      </c>
      <c r="B31" s="15" t="s">
        <v>28</v>
      </c>
      <c r="C31" s="15" t="str">
        <f>Наука!N102</f>
        <v>Свод законов</v>
      </c>
      <c r="D31" s="15">
        <v>0</v>
      </c>
      <c r="E31" s="15">
        <v>0</v>
      </c>
      <c r="F31" s="15">
        <v>0</v>
      </c>
      <c r="G31" s="15">
        <v>0</v>
      </c>
      <c r="H31" s="15">
        <v>2</v>
      </c>
      <c r="I31" s="15"/>
      <c r="J31" s="15"/>
      <c r="K31" s="15"/>
      <c r="L31" s="15"/>
      <c r="M31" s="15"/>
      <c r="N31" s="15"/>
      <c r="O31" s="15">
        <v>1</v>
      </c>
      <c r="P31" s="15">
        <v>0</v>
      </c>
      <c r="Q31" s="15">
        <v>1</v>
      </c>
      <c r="R31" s="15" t="str">
        <f>""</f>
        <v/>
      </c>
      <c r="S31" s="15"/>
      <c r="T31" s="15"/>
      <c r="U31" s="15"/>
    </row>
    <row r="32" spans="1:21" x14ac:dyDescent="0.25">
      <c r="A32" s="45">
        <v>3</v>
      </c>
      <c r="B32" s="15" t="s">
        <v>29</v>
      </c>
      <c r="C32" s="15" t="str">
        <f>Наука!N103</f>
        <v>Философия</v>
      </c>
      <c r="D32" s="15">
        <v>2</v>
      </c>
      <c r="E32" s="15">
        <v>0</v>
      </c>
      <c r="F32" s="15">
        <v>0</v>
      </c>
      <c r="G32" s="15">
        <v>1</v>
      </c>
      <c r="H32" s="15">
        <v>2</v>
      </c>
      <c r="I32" s="15"/>
      <c r="J32" s="15"/>
      <c r="K32" s="15"/>
      <c r="L32" s="15"/>
      <c r="M32" s="15"/>
      <c r="N32" s="15"/>
      <c r="O32" s="15">
        <v>1</v>
      </c>
      <c r="P32" s="15">
        <v>0</v>
      </c>
      <c r="Q32" s="15">
        <v>1</v>
      </c>
      <c r="R32" s="15" t="str">
        <f>""</f>
        <v/>
      </c>
      <c r="S32" s="15"/>
      <c r="T32" s="15"/>
      <c r="U32" s="15"/>
    </row>
    <row r="33" spans="1:21" x14ac:dyDescent="0.25">
      <c r="A33" s="45">
        <v>4</v>
      </c>
      <c r="B33" s="15" t="s">
        <v>30</v>
      </c>
      <c r="C33" s="15" t="str">
        <f>Наука!N104</f>
        <v>Монархия</v>
      </c>
      <c r="D33" s="15">
        <v>2</v>
      </c>
      <c r="E33" s="15">
        <v>0</v>
      </c>
      <c r="F33" s="15">
        <v>2</v>
      </c>
      <c r="G33" s="15">
        <v>1</v>
      </c>
      <c r="H33" s="15">
        <v>3</v>
      </c>
      <c r="I33" s="15"/>
      <c r="J33" s="15"/>
      <c r="K33" s="15"/>
      <c r="L33" s="15"/>
      <c r="M33" s="15"/>
      <c r="N33" s="15"/>
      <c r="O33" s="15">
        <v>1</v>
      </c>
      <c r="P33" s="15">
        <v>0</v>
      </c>
      <c r="Q33" s="15">
        <v>1</v>
      </c>
      <c r="R33" s="15" t="str">
        <f>""</f>
        <v/>
      </c>
      <c r="S33" s="15"/>
      <c r="T33" s="15"/>
      <c r="U33" s="15"/>
    </row>
    <row r="34" spans="1:21" x14ac:dyDescent="0.25">
      <c r="A34" s="45">
        <v>5</v>
      </c>
      <c r="B34" s="15" t="s">
        <v>31</v>
      </c>
      <c r="C34" s="15" t="str">
        <f>Наука!N105</f>
        <v>Теология</v>
      </c>
      <c r="D34" s="15">
        <v>0</v>
      </c>
      <c r="E34" s="15">
        <v>1</v>
      </c>
      <c r="F34" s="15">
        <v>0</v>
      </c>
      <c r="G34" s="15">
        <v>0</v>
      </c>
      <c r="H34" s="15">
        <v>2</v>
      </c>
      <c r="I34" s="15"/>
      <c r="J34" s="15"/>
      <c r="K34" s="15"/>
      <c r="L34" s="15"/>
      <c r="M34" s="15">
        <v>-2</v>
      </c>
      <c r="N34" s="15"/>
      <c r="O34" s="15">
        <v>1</v>
      </c>
      <c r="P34" s="15">
        <v>0</v>
      </c>
      <c r="Q34" s="15">
        <v>1</v>
      </c>
      <c r="R34" s="15" t="s">
        <v>215</v>
      </c>
      <c r="S34" s="15"/>
      <c r="T34" s="15"/>
      <c r="U34" s="15"/>
    </row>
    <row r="35" spans="1:21" x14ac:dyDescent="0.25">
      <c r="A35" s="45">
        <v>6</v>
      </c>
      <c r="B35" s="15" t="s">
        <v>32</v>
      </c>
      <c r="C35" s="15" t="str">
        <f>Наука!N106</f>
        <v>Демократия</v>
      </c>
      <c r="D35" s="15">
        <v>2</v>
      </c>
      <c r="E35" s="15">
        <v>0</v>
      </c>
      <c r="F35" s="15">
        <v>0</v>
      </c>
      <c r="G35" s="15">
        <v>1</v>
      </c>
      <c r="H35" s="15">
        <v>2</v>
      </c>
      <c r="I35" s="15"/>
      <c r="J35" s="15"/>
      <c r="K35" s="15"/>
      <c r="L35" s="15"/>
      <c r="M35" s="15"/>
      <c r="N35" s="15"/>
      <c r="O35" s="15">
        <v>3</v>
      </c>
      <c r="P35" s="15">
        <v>1</v>
      </c>
      <c r="Q35" s="15">
        <v>1</v>
      </c>
      <c r="R35" s="15" t="str">
        <f>""</f>
        <v/>
      </c>
      <c r="S35" s="15"/>
      <c r="T35" s="15"/>
      <c r="U35" s="15"/>
    </row>
    <row r="36" spans="1:21" x14ac:dyDescent="0.25">
      <c r="A36" s="45">
        <v>7</v>
      </c>
      <c r="B36" s="15" t="s">
        <v>33</v>
      </c>
      <c r="C36" s="15" t="str">
        <f>Наука!N107</f>
        <v>СМИ</v>
      </c>
      <c r="D36" s="15">
        <v>0</v>
      </c>
      <c r="E36" s="15">
        <v>2</v>
      </c>
      <c r="F36" s="15">
        <v>0</v>
      </c>
      <c r="G36" s="15">
        <v>2</v>
      </c>
      <c r="H36" s="15">
        <v>2</v>
      </c>
      <c r="I36" s="15"/>
      <c r="J36" s="15"/>
      <c r="K36" s="15"/>
      <c r="L36" s="15"/>
      <c r="M36" s="15"/>
      <c r="N36" s="15"/>
      <c r="O36" s="15">
        <v>1</v>
      </c>
      <c r="P36" s="15">
        <v>0</v>
      </c>
      <c r="Q36" s="15">
        <v>2</v>
      </c>
      <c r="R36" s="15"/>
      <c r="S36" s="15"/>
      <c r="T36" s="15"/>
      <c r="U36" s="15"/>
    </row>
    <row r="37" spans="1:21" x14ac:dyDescent="0.25">
      <c r="A37" s="45">
        <v>8</v>
      </c>
      <c r="B37" s="15" t="s">
        <v>34</v>
      </c>
      <c r="C37" s="15" t="str">
        <f>Наука!N108</f>
        <v>Пропаганда</v>
      </c>
      <c r="D37" s="15">
        <v>2</v>
      </c>
      <c r="E37" s="15">
        <v>0</v>
      </c>
      <c r="F37" s="15">
        <v>1</v>
      </c>
      <c r="G37" s="15">
        <v>0</v>
      </c>
      <c r="H37" s="15">
        <v>2</v>
      </c>
      <c r="I37" s="15"/>
      <c r="J37" s="15"/>
      <c r="K37" s="15"/>
      <c r="L37" s="15"/>
      <c r="M37" s="15"/>
      <c r="N37" s="15"/>
      <c r="O37" s="15">
        <v>1</v>
      </c>
      <c r="P37" s="15">
        <v>0</v>
      </c>
      <c r="Q37" s="15">
        <v>1</v>
      </c>
      <c r="R37" s="15" t="s">
        <v>216</v>
      </c>
      <c r="S37" s="15"/>
      <c r="T37" s="15"/>
      <c r="U37" s="15"/>
    </row>
    <row r="38" spans="1:21" x14ac:dyDescent="0.25">
      <c r="A38" s="45">
        <v>9</v>
      </c>
      <c r="B38" s="15" t="s">
        <v>35</v>
      </c>
      <c r="C38" s="15" t="str">
        <f>Наука!N109</f>
        <v>Коммунизм</v>
      </c>
      <c r="D38" s="15">
        <v>2</v>
      </c>
      <c r="E38" s="15">
        <v>0</v>
      </c>
      <c r="F38" s="15">
        <v>0</v>
      </c>
      <c r="G38" s="15">
        <v>1</v>
      </c>
      <c r="H38" s="15">
        <v>2</v>
      </c>
      <c r="I38" s="15"/>
      <c r="J38" s="15"/>
      <c r="K38" s="15">
        <v>2</v>
      </c>
      <c r="L38" s="15"/>
      <c r="M38" s="15">
        <v>1</v>
      </c>
      <c r="N38" s="15">
        <v>1</v>
      </c>
      <c r="O38" s="15">
        <v>1</v>
      </c>
      <c r="P38" s="15">
        <v>0</v>
      </c>
      <c r="Q38" s="15">
        <v>1</v>
      </c>
      <c r="R38" s="15" t="str">
        <f>""</f>
        <v/>
      </c>
      <c r="S38" s="15"/>
      <c r="T38" s="15"/>
      <c r="U38" s="15"/>
    </row>
    <row r="42" spans="1:21" x14ac:dyDescent="0.25">
      <c r="A42" s="256">
        <v>1</v>
      </c>
      <c r="B42" s="256">
        <v>-4000</v>
      </c>
      <c r="C42" s="256">
        <f t="shared" ref="C42:C54" si="4">C43+D42</f>
        <v>1200</v>
      </c>
      <c r="D42" s="256">
        <f t="shared" ref="D42:D54" si="5">D43+10</f>
        <v>150</v>
      </c>
      <c r="E42" s="256"/>
      <c r="F42" s="256">
        <f>B43-B42</f>
        <v>3000</v>
      </c>
      <c r="G42" s="256"/>
      <c r="H42" s="256" t="str">
        <f>ABS(B42)&amp;IF(B42&gt;0," г.н.э"," г. д.н.э.")&amp;" (ход "&amp;A42&amp;")"</f>
        <v>4000 г. д.н.э. (ход 1)</v>
      </c>
      <c r="I42" s="256"/>
      <c r="J42" s="256"/>
      <c r="K42" s="256" t="s">
        <v>290</v>
      </c>
      <c r="L42" s="256"/>
    </row>
    <row r="43" spans="1:21" x14ac:dyDescent="0.25">
      <c r="A43" s="256">
        <v>2</v>
      </c>
      <c r="B43" s="256">
        <v>-1000</v>
      </c>
      <c r="C43" s="256">
        <f t="shared" si="4"/>
        <v>1050</v>
      </c>
      <c r="D43" s="256">
        <f t="shared" si="5"/>
        <v>140</v>
      </c>
      <c r="E43" s="256"/>
      <c r="F43" s="256">
        <f t="shared" ref="F43:F56" si="6">B44-B43</f>
        <v>1001</v>
      </c>
      <c r="G43" s="256"/>
      <c r="H43" s="256" t="str">
        <f t="shared" ref="H43:H56" si="7">ABS(B43)&amp;IF(B43&gt;0," г.н.э"," г. д.н.э.")&amp;" (ход "&amp;A43&amp;")"</f>
        <v>1000 г. д.н.э. (ход 2)</v>
      </c>
      <c r="I43" s="256"/>
      <c r="J43" s="256"/>
      <c r="K43" s="256" t="s">
        <v>291</v>
      </c>
      <c r="L43" s="256"/>
    </row>
    <row r="44" spans="1:21" x14ac:dyDescent="0.25">
      <c r="A44" s="256">
        <v>3</v>
      </c>
      <c r="B44" s="256">
        <v>1</v>
      </c>
      <c r="C44" s="256">
        <f t="shared" si="4"/>
        <v>910</v>
      </c>
      <c r="D44" s="256">
        <f t="shared" si="5"/>
        <v>130</v>
      </c>
      <c r="E44" s="256"/>
      <c r="F44" s="256">
        <f t="shared" si="6"/>
        <v>399</v>
      </c>
      <c r="G44" s="256"/>
      <c r="H44" s="256" t="str">
        <f t="shared" si="7"/>
        <v>1 г.н.э (ход 3)</v>
      </c>
      <c r="I44" s="256"/>
      <c r="J44" s="256"/>
      <c r="K44" s="256" t="s">
        <v>292</v>
      </c>
      <c r="L44" s="256"/>
    </row>
    <row r="45" spans="1:21" x14ac:dyDescent="0.25">
      <c r="A45" s="256">
        <v>4</v>
      </c>
      <c r="B45" s="256">
        <v>400</v>
      </c>
      <c r="C45" s="256">
        <f t="shared" si="4"/>
        <v>780</v>
      </c>
      <c r="D45" s="256">
        <f t="shared" si="5"/>
        <v>120</v>
      </c>
      <c r="E45" s="256"/>
      <c r="F45" s="256">
        <f t="shared" si="6"/>
        <v>350</v>
      </c>
      <c r="G45" s="256"/>
      <c r="H45" s="256" t="str">
        <f t="shared" si="7"/>
        <v>400 г.н.э (ход 4)</v>
      </c>
      <c r="I45" s="256"/>
      <c r="J45" s="256"/>
      <c r="K45" s="256" t="s">
        <v>293</v>
      </c>
      <c r="L45" s="256"/>
    </row>
    <row r="46" spans="1:21" x14ac:dyDescent="0.25">
      <c r="A46" s="256">
        <v>5</v>
      </c>
      <c r="B46" s="256">
        <v>750</v>
      </c>
      <c r="C46" s="256">
        <f t="shared" si="4"/>
        <v>660</v>
      </c>
      <c r="D46" s="256">
        <f t="shared" si="5"/>
        <v>110</v>
      </c>
      <c r="E46" s="256"/>
      <c r="F46" s="256">
        <f t="shared" si="6"/>
        <v>300</v>
      </c>
      <c r="G46" s="256"/>
      <c r="H46" s="256" t="str">
        <f t="shared" si="7"/>
        <v>750 г.н.э (ход 5)</v>
      </c>
      <c r="I46" s="256"/>
      <c r="J46" s="256"/>
      <c r="K46" s="256" t="s">
        <v>294</v>
      </c>
      <c r="L46" s="256"/>
    </row>
    <row r="47" spans="1:21" x14ac:dyDescent="0.25">
      <c r="A47" s="256">
        <v>6</v>
      </c>
      <c r="B47" s="256">
        <v>1050</v>
      </c>
      <c r="C47" s="256">
        <f t="shared" si="4"/>
        <v>550</v>
      </c>
      <c r="D47" s="256">
        <f t="shared" si="5"/>
        <v>100</v>
      </c>
      <c r="E47" s="256"/>
      <c r="F47" s="256">
        <f t="shared" si="6"/>
        <v>250</v>
      </c>
      <c r="G47" s="256"/>
      <c r="H47" s="256" t="str">
        <f t="shared" si="7"/>
        <v>1050 г.н.э (ход 6)</v>
      </c>
      <c r="I47" s="256"/>
      <c r="J47" s="256"/>
      <c r="K47" s="256" t="s">
        <v>295</v>
      </c>
      <c r="L47" s="256"/>
    </row>
    <row r="48" spans="1:21" x14ac:dyDescent="0.25">
      <c r="A48" s="256">
        <v>7</v>
      </c>
      <c r="B48" s="256">
        <v>1300</v>
      </c>
      <c r="C48" s="256">
        <f t="shared" si="4"/>
        <v>450</v>
      </c>
      <c r="D48" s="256">
        <f t="shared" si="5"/>
        <v>90</v>
      </c>
      <c r="E48" s="256"/>
      <c r="F48" s="256">
        <f t="shared" si="6"/>
        <v>200</v>
      </c>
      <c r="G48" s="256"/>
      <c r="H48" s="256" t="str">
        <f t="shared" si="7"/>
        <v>1300 г.н.э (ход 7)</v>
      </c>
      <c r="I48" s="256"/>
      <c r="J48" s="256"/>
      <c r="K48" s="256" t="s">
        <v>296</v>
      </c>
      <c r="L48" s="256"/>
    </row>
    <row r="49" spans="1:12" x14ac:dyDescent="0.25">
      <c r="A49" s="256">
        <v>8</v>
      </c>
      <c r="B49" s="256">
        <v>1500</v>
      </c>
      <c r="C49" s="256">
        <f t="shared" si="4"/>
        <v>360</v>
      </c>
      <c r="D49" s="256">
        <f t="shared" si="5"/>
        <v>80</v>
      </c>
      <c r="E49" s="256"/>
      <c r="F49" s="256">
        <f t="shared" si="6"/>
        <v>140</v>
      </c>
      <c r="G49" s="256"/>
      <c r="H49" s="256" t="str">
        <f t="shared" si="7"/>
        <v>1500 г.н.э (ход 8)</v>
      </c>
      <c r="I49" s="256"/>
      <c r="J49" s="256"/>
      <c r="K49" s="256" t="s">
        <v>297</v>
      </c>
      <c r="L49" s="256"/>
    </row>
    <row r="50" spans="1:12" x14ac:dyDescent="0.25">
      <c r="A50" s="256">
        <v>9</v>
      </c>
      <c r="B50" s="256">
        <v>1640</v>
      </c>
      <c r="C50" s="256">
        <f t="shared" si="4"/>
        <v>280</v>
      </c>
      <c r="D50" s="256">
        <f t="shared" si="5"/>
        <v>70</v>
      </c>
      <c r="E50" s="256"/>
      <c r="F50" s="256">
        <f t="shared" si="6"/>
        <v>110</v>
      </c>
      <c r="G50" s="256"/>
      <c r="H50" s="256" t="str">
        <f t="shared" si="7"/>
        <v>1640 г.н.э (ход 9)</v>
      </c>
      <c r="I50" s="256"/>
      <c r="J50" s="256"/>
      <c r="K50" s="256" t="s">
        <v>298</v>
      </c>
      <c r="L50" s="256"/>
    </row>
    <row r="51" spans="1:12" x14ac:dyDescent="0.25">
      <c r="A51" s="256">
        <v>10</v>
      </c>
      <c r="B51" s="256">
        <v>1750</v>
      </c>
      <c r="C51" s="256">
        <f t="shared" si="4"/>
        <v>210</v>
      </c>
      <c r="D51" s="256">
        <f t="shared" si="5"/>
        <v>60</v>
      </c>
      <c r="E51" s="256"/>
      <c r="F51" s="256">
        <f t="shared" si="6"/>
        <v>90</v>
      </c>
      <c r="G51" s="256"/>
      <c r="H51" s="256" t="str">
        <f t="shared" si="7"/>
        <v>1750 г.н.э (ход 10)</v>
      </c>
      <c r="I51" s="256"/>
      <c r="J51" s="256"/>
      <c r="K51" s="256" t="s">
        <v>299</v>
      </c>
      <c r="L51" s="256"/>
    </row>
    <row r="52" spans="1:12" x14ac:dyDescent="0.25">
      <c r="A52" s="256">
        <v>11</v>
      </c>
      <c r="B52" s="256">
        <v>1840</v>
      </c>
      <c r="C52" s="256">
        <f t="shared" si="4"/>
        <v>150</v>
      </c>
      <c r="D52" s="256">
        <f t="shared" si="5"/>
        <v>50</v>
      </c>
      <c r="E52" s="256"/>
      <c r="F52" s="256">
        <f t="shared" si="6"/>
        <v>70</v>
      </c>
      <c r="G52" s="256"/>
      <c r="H52" s="256" t="str">
        <f t="shared" si="7"/>
        <v>1840 г.н.э (ход 11)</v>
      </c>
      <c r="I52" s="256"/>
      <c r="J52" s="256"/>
      <c r="K52" s="256" t="s">
        <v>300</v>
      </c>
      <c r="L52" s="256"/>
    </row>
    <row r="53" spans="1:12" x14ac:dyDescent="0.25">
      <c r="A53" s="256">
        <v>12</v>
      </c>
      <c r="B53" s="256">
        <v>1910</v>
      </c>
      <c r="C53" s="256">
        <f t="shared" si="4"/>
        <v>100</v>
      </c>
      <c r="D53" s="256">
        <f t="shared" si="5"/>
        <v>40</v>
      </c>
      <c r="E53" s="256"/>
      <c r="F53" s="256">
        <f t="shared" si="6"/>
        <v>50</v>
      </c>
      <c r="G53" s="256"/>
      <c r="H53" s="256" t="str">
        <f t="shared" si="7"/>
        <v>1910 г.н.э (ход 12)</v>
      </c>
      <c r="I53" s="256"/>
      <c r="J53" s="256"/>
      <c r="K53" s="256" t="s">
        <v>301</v>
      </c>
      <c r="L53" s="256"/>
    </row>
    <row r="54" spans="1:12" x14ac:dyDescent="0.25">
      <c r="A54" s="256">
        <v>13</v>
      </c>
      <c r="B54" s="256">
        <v>1960</v>
      </c>
      <c r="C54" s="256">
        <f t="shared" si="4"/>
        <v>60</v>
      </c>
      <c r="D54" s="256">
        <f t="shared" si="5"/>
        <v>30</v>
      </c>
      <c r="E54" s="256"/>
      <c r="F54" s="256">
        <f t="shared" si="6"/>
        <v>30</v>
      </c>
      <c r="G54" s="256"/>
      <c r="H54" s="256" t="str">
        <f t="shared" si="7"/>
        <v>1960 г.н.э (ход 13)</v>
      </c>
      <c r="I54" s="256"/>
      <c r="J54" s="256"/>
      <c r="K54" s="256" t="s">
        <v>302</v>
      </c>
      <c r="L54" s="256"/>
    </row>
    <row r="55" spans="1:12" x14ac:dyDescent="0.25">
      <c r="A55" s="256">
        <v>14</v>
      </c>
      <c r="B55" s="256">
        <f>B56-C56</f>
        <v>1990</v>
      </c>
      <c r="C55" s="256">
        <f>C56+D55</f>
        <v>30</v>
      </c>
      <c r="D55" s="256">
        <f>D56+10</f>
        <v>20</v>
      </c>
      <c r="E55" s="256"/>
      <c r="F55" s="256">
        <f t="shared" si="6"/>
        <v>10</v>
      </c>
      <c r="G55" s="256"/>
      <c r="H55" s="256" t="str">
        <f t="shared" si="7"/>
        <v>1990 г.н.э (ход 14)</v>
      </c>
      <c r="I55" s="256"/>
      <c r="J55" s="256"/>
      <c r="K55" s="256" t="s">
        <v>303</v>
      </c>
      <c r="L55" s="256"/>
    </row>
    <row r="56" spans="1:12" x14ac:dyDescent="0.25">
      <c r="A56" s="256">
        <v>15</v>
      </c>
      <c r="B56" s="256">
        <v>2000</v>
      </c>
      <c r="C56" s="256">
        <v>10</v>
      </c>
      <c r="D56" s="256">
        <v>10</v>
      </c>
      <c r="E56" s="256"/>
      <c r="F56" s="256">
        <f t="shared" si="6"/>
        <v>-2000</v>
      </c>
      <c r="G56" s="256"/>
      <c r="H56" s="256" t="str">
        <f t="shared" si="7"/>
        <v>2000 г.н.э (ход 15)</v>
      </c>
      <c r="I56" s="256"/>
      <c r="J56" s="256"/>
      <c r="K56" s="256" t="s">
        <v>304</v>
      </c>
      <c r="L56" s="256"/>
    </row>
  </sheetData>
  <mergeCells count="1">
    <mergeCell ref="N1:O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"/>
  <sheetViews>
    <sheetView topLeftCell="A25" workbookViewId="0">
      <selection activeCell="E42" sqref="E42"/>
    </sheetView>
  </sheetViews>
  <sheetFormatPr defaultRowHeight="15" x14ac:dyDescent="0.25"/>
  <cols>
    <col min="1" max="1" width="14.140625" customWidth="1"/>
    <col min="2" max="2" width="4.140625" bestFit="1" customWidth="1"/>
    <col min="3" max="3" width="14.5703125" style="86" customWidth="1"/>
    <col min="4" max="4" width="5.85546875" customWidth="1"/>
    <col min="5" max="5" width="17.85546875" style="86" bestFit="1" customWidth="1"/>
    <col min="6" max="6" width="5.42578125" customWidth="1"/>
    <col min="7" max="7" width="18.28515625" style="86" bestFit="1" customWidth="1"/>
    <col min="8" max="8" width="6" bestFit="1" customWidth="1"/>
    <col min="9" max="9" width="12.140625" style="86" bestFit="1" customWidth="1"/>
    <col min="10" max="10" width="4.140625" bestFit="1" customWidth="1"/>
    <col min="11" max="11" width="6.42578125" style="86" bestFit="1" customWidth="1"/>
    <col min="12" max="12" width="13.28515625" bestFit="1" customWidth="1"/>
    <col min="13" max="13" width="13.28515625" style="270" customWidth="1"/>
    <col min="14" max="14" width="26.28515625" customWidth="1"/>
  </cols>
  <sheetData>
    <row r="2" spans="1:14" x14ac:dyDescent="0.25">
      <c r="A2" s="84"/>
      <c r="B2" s="293" t="s">
        <v>332</v>
      </c>
      <c r="C2" s="293"/>
      <c r="D2" s="290" t="s">
        <v>471</v>
      </c>
      <c r="E2" s="292"/>
      <c r="F2" s="290" t="s">
        <v>472</v>
      </c>
      <c r="G2" s="292"/>
      <c r="H2" s="290" t="s">
        <v>473</v>
      </c>
      <c r="I2" s="292"/>
      <c r="J2" s="290" t="s">
        <v>282</v>
      </c>
      <c r="K2" s="292"/>
      <c r="L2" s="84" t="s">
        <v>334</v>
      </c>
      <c r="M2" s="274"/>
      <c r="N2" t="s">
        <v>394</v>
      </c>
    </row>
    <row r="3" spans="1:14" x14ac:dyDescent="0.25">
      <c r="A3" s="84" t="s">
        <v>326</v>
      </c>
      <c r="B3" s="85" t="s">
        <v>331</v>
      </c>
      <c r="C3" s="87"/>
      <c r="D3" s="85">
        <v>1</v>
      </c>
      <c r="E3" s="87" t="s">
        <v>97</v>
      </c>
      <c r="F3" s="85">
        <v>2</v>
      </c>
      <c r="G3" s="87" t="s">
        <v>76</v>
      </c>
      <c r="H3" s="85">
        <v>1</v>
      </c>
      <c r="I3" s="87"/>
      <c r="J3" s="85" t="s">
        <v>331</v>
      </c>
      <c r="K3" s="87"/>
      <c r="L3" s="276" t="s">
        <v>547</v>
      </c>
      <c r="M3" s="274"/>
      <c r="N3" s="264" t="str">
        <f>"[li]"&amp;A3&amp;": "&amp;IF(L3&lt;&gt;"-","в центре города дает "&amp;L3&amp;"; ","")&amp;IF(C3&lt;&gt;""," для обработки требует технологию "&amp;C3&amp;"; ","")&amp;"+"&amp;D3&amp;"М ("&amp;E3&amp;") ИЛИ +"&amp;F3&amp;"Б ("&amp;G3&amp;") ИЛИ +"&amp;H3&amp;"Н "&amp;IF(I3&lt;&gt;"","("&amp;I3&amp;") ","")&amp;IF((J3="да")+(K3&lt;&gt;""),"ИЛИ +1 нас. "&amp;IF(K3&lt;&gt;"","(если открыта технология "&amp;K3&amp;")",""),"")&amp;"[/li]"</f>
        <v>[li]Поле/луг: в центре города дает +2Б; +1М (Паровая тяга) ИЛИ +2Б (Математика) ИЛИ +1Н ИЛИ +1 нас. [/li]</v>
      </c>
    </row>
    <row r="4" spans="1:14" x14ac:dyDescent="0.25">
      <c r="A4" s="84" t="s">
        <v>324</v>
      </c>
      <c r="B4" s="85" t="s">
        <v>331</v>
      </c>
      <c r="C4" s="87"/>
      <c r="D4" s="85">
        <v>2</v>
      </c>
      <c r="E4" s="87" t="s">
        <v>66</v>
      </c>
      <c r="F4" s="85">
        <v>1</v>
      </c>
      <c r="G4" s="87" t="s">
        <v>74</v>
      </c>
      <c r="H4" s="85">
        <v>1</v>
      </c>
      <c r="I4" s="87"/>
      <c r="J4" s="85" t="s">
        <v>333</v>
      </c>
      <c r="K4" s="87" t="s">
        <v>53</v>
      </c>
      <c r="L4" s="277" t="s">
        <v>548</v>
      </c>
      <c r="M4" s="275"/>
      <c r="N4" s="270" t="str">
        <f t="shared" ref="N4:N10" si="0">"[li]"&amp;A4&amp;": "&amp;IF(L4&lt;&gt;"-","в центре города дает "&amp;L4&amp;"; ","")&amp;IF(C4&lt;&gt;""," для обработки требует технологию "&amp;C4&amp;"; ","")&amp;"+"&amp;D4&amp;"М ("&amp;E4&amp;") ИЛИ +"&amp;F4&amp;"Б ("&amp;G4&amp;") ИЛИ +"&amp;H4&amp;"Н "&amp;IF(I4&lt;&gt;"","("&amp;I4&amp;") ","")&amp;IF((J4="да")+(K4&lt;&gt;""),"ИЛИ +1 нас. "&amp;IF(K4&lt;&gt;"","(если открыта технология "&amp;K4&amp;")",""),"")&amp;"[/li]"</f>
        <v>[li]Лес: в центре города дает +2М; +2М (Строительство) ИЛИ +1Б (Инженерное дело) ИЛИ +1Н ИЛИ +1 нас. (если открыта технология Охота)[/li]</v>
      </c>
    </row>
    <row r="5" spans="1:14" x14ac:dyDescent="0.25">
      <c r="A5" s="84" t="s">
        <v>325</v>
      </c>
      <c r="B5" s="85" t="s">
        <v>331</v>
      </c>
      <c r="C5" s="87"/>
      <c r="D5" s="85">
        <v>3</v>
      </c>
      <c r="E5" s="87" t="s">
        <v>90</v>
      </c>
      <c r="F5" s="85">
        <v>1</v>
      </c>
      <c r="G5" s="87" t="s">
        <v>206</v>
      </c>
      <c r="H5" s="85">
        <v>1</v>
      </c>
      <c r="I5" s="87"/>
      <c r="J5" s="85" t="s">
        <v>333</v>
      </c>
      <c r="K5" s="87"/>
      <c r="L5" s="276" t="s">
        <v>546</v>
      </c>
      <c r="M5" s="274"/>
      <c r="N5" s="270" t="str">
        <f t="shared" si="0"/>
        <v>[li]Холм: в центре города дает +1М +1Б; +3М (Железные дороги) ИЛИ +1Б (Астрономия) ИЛИ +1Н [/li]</v>
      </c>
    </row>
    <row r="6" spans="1:14" x14ac:dyDescent="0.25">
      <c r="A6" s="84" t="s">
        <v>327</v>
      </c>
      <c r="B6" s="85" t="s">
        <v>331</v>
      </c>
      <c r="C6" s="87"/>
      <c r="D6" s="85">
        <v>1</v>
      </c>
      <c r="E6" s="87" t="s">
        <v>116</v>
      </c>
      <c r="F6" s="85">
        <v>1</v>
      </c>
      <c r="G6" s="87" t="s">
        <v>74</v>
      </c>
      <c r="H6" s="85">
        <v>1</v>
      </c>
      <c r="I6" s="87"/>
      <c r="J6" s="85" t="s">
        <v>333</v>
      </c>
      <c r="K6" s="87" t="s">
        <v>53</v>
      </c>
      <c r="L6" s="277" t="s">
        <v>551</v>
      </c>
      <c r="M6" s="275"/>
      <c r="N6" s="270" t="str">
        <f t="shared" si="0"/>
        <v>[li]Джунгли: в центре города дает +1М; +1М (Универсализация) ИЛИ +1Б (Инженерное дело) ИЛИ +1Н ИЛИ +1 нас. (если открыта технология Охота)[/li]</v>
      </c>
    </row>
    <row r="7" spans="1:14" x14ac:dyDescent="0.25">
      <c r="A7" s="84" t="s">
        <v>329</v>
      </c>
      <c r="B7" s="85" t="s">
        <v>331</v>
      </c>
      <c r="C7" s="87"/>
      <c r="D7" s="85">
        <v>1</v>
      </c>
      <c r="E7" s="87" t="s">
        <v>108</v>
      </c>
      <c r="F7" s="85">
        <v>1</v>
      </c>
      <c r="G7" s="87" t="s">
        <v>76</v>
      </c>
      <c r="H7" s="85">
        <v>1</v>
      </c>
      <c r="I7" s="87"/>
      <c r="J7" s="85" t="s">
        <v>333</v>
      </c>
      <c r="K7" s="87"/>
      <c r="L7" s="276" t="s">
        <v>549</v>
      </c>
      <c r="M7" s="274"/>
      <c r="N7" s="270" t="str">
        <f t="shared" si="0"/>
        <v>[li]Пустыня: в центре города дает +1Н; +1М (Ядерная теория) ИЛИ +1Б (Математика) ИЛИ +1Н [/li]</v>
      </c>
    </row>
    <row r="8" spans="1:14" s="255" customFormat="1" x14ac:dyDescent="0.25">
      <c r="A8" s="254" t="s">
        <v>502</v>
      </c>
      <c r="B8" s="85" t="s">
        <v>333</v>
      </c>
      <c r="C8" s="87" t="s">
        <v>76</v>
      </c>
      <c r="D8" s="85">
        <v>1</v>
      </c>
      <c r="E8" s="87" t="s">
        <v>90</v>
      </c>
      <c r="F8" s="85">
        <v>1</v>
      </c>
      <c r="G8" s="87" t="s">
        <v>114</v>
      </c>
      <c r="H8" s="85">
        <v>1</v>
      </c>
      <c r="I8" s="87"/>
      <c r="J8" s="85" t="s">
        <v>333</v>
      </c>
      <c r="K8" s="87"/>
      <c r="L8" s="276" t="s">
        <v>550</v>
      </c>
      <c r="M8" s="274"/>
      <c r="N8" s="270" t="str">
        <f t="shared" si="0"/>
        <v>[li]Арктика: в центре города дает +1Б;  для обработки требует технологию Математика; +1М (Железные дороги) ИЛИ +1Б (Логистика) ИЛИ +1Н [/li]</v>
      </c>
    </row>
    <row r="9" spans="1:14" x14ac:dyDescent="0.25">
      <c r="A9" s="84" t="s">
        <v>328</v>
      </c>
      <c r="B9" s="85" t="s">
        <v>333</v>
      </c>
      <c r="C9" s="87" t="s">
        <v>55</v>
      </c>
      <c r="D9" s="85">
        <v>0</v>
      </c>
      <c r="E9" s="87" t="s">
        <v>112</v>
      </c>
      <c r="F9" s="85">
        <v>2</v>
      </c>
      <c r="G9" s="87" t="s">
        <v>206</v>
      </c>
      <c r="H9" s="85">
        <v>0</v>
      </c>
      <c r="I9" s="87" t="s">
        <v>112</v>
      </c>
      <c r="J9" s="85" t="s">
        <v>333</v>
      </c>
      <c r="K9" s="87"/>
      <c r="L9" s="276" t="s">
        <v>335</v>
      </c>
      <c r="M9" s="274"/>
      <c r="N9" s="270" t="str">
        <f t="shared" si="0"/>
        <v>[li]Моря/океаны:  для обработки требует технологию Навигация; +0М (ДВС) ИЛИ +2Б (Астрономия) ИЛИ +0Н (ДВС) [/li]</v>
      </c>
    </row>
    <row r="10" spans="1:14" x14ac:dyDescent="0.25">
      <c r="A10" s="84" t="s">
        <v>330</v>
      </c>
      <c r="B10" s="85" t="s">
        <v>333</v>
      </c>
      <c r="C10" s="87" t="s">
        <v>88</v>
      </c>
      <c r="D10" s="85">
        <v>2</v>
      </c>
      <c r="E10" s="87" t="s">
        <v>94</v>
      </c>
      <c r="F10" s="85">
        <v>2</v>
      </c>
      <c r="G10" s="87" t="s">
        <v>114</v>
      </c>
      <c r="H10" s="85">
        <v>0</v>
      </c>
      <c r="I10" s="87" t="s">
        <v>206</v>
      </c>
      <c r="J10" s="85" t="s">
        <v>333</v>
      </c>
      <c r="K10" s="87"/>
      <c r="L10" s="277" t="s">
        <v>335</v>
      </c>
      <c r="M10" s="275"/>
      <c r="N10" s="270" t="str">
        <f t="shared" si="0"/>
        <v>[li]Гора:  для обработки требует технологию Химия; +2М (Литье металла) ИЛИ +2Б (Логистика) ИЛИ +0Н (Астрономия) [/li]</v>
      </c>
    </row>
    <row r="11" spans="1:14" x14ac:dyDescent="0.25">
      <c r="N11" s="273" t="s">
        <v>401</v>
      </c>
    </row>
    <row r="16" spans="1:14" x14ac:dyDescent="0.25">
      <c r="G16" s="251"/>
      <c r="H16" s="86"/>
      <c r="I16"/>
      <c r="J16" s="86"/>
      <c r="K16"/>
      <c r="L16" s="86"/>
      <c r="M16" s="86"/>
    </row>
    <row r="17" spans="1:15" x14ac:dyDescent="0.25">
      <c r="D17" s="86"/>
      <c r="E17">
        <f>SUM(E18:E37)</f>
        <v>6160</v>
      </c>
      <c r="F17" s="86"/>
      <c r="G17"/>
      <c r="H17" s="251"/>
      <c r="L17" t="s">
        <v>503</v>
      </c>
    </row>
    <row r="18" spans="1:15" x14ac:dyDescent="0.25">
      <c r="B18" s="251">
        <v>1</v>
      </c>
      <c r="C18" s="253" t="str">
        <f t="shared" ref="C18:C37" si="1">ABS(D18)&amp;" - "&amp;ABS(D19)&amp;IF(D19&gt;0," г.н.э"," г. д.н.э.")&amp;" (ход "&amp;B18&amp;")"</f>
        <v>4000 - 2500 г. д.н.э. (ход 1)</v>
      </c>
      <c r="D18" s="81">
        <v>-4000</v>
      </c>
      <c r="E18" s="251">
        <f>E19+F18</f>
        <v>840</v>
      </c>
      <c r="F18" s="251">
        <f t="shared" ref="F18:F36" si="2">F19+F$37</f>
        <v>80</v>
      </c>
      <c r="G18" s="81">
        <v>1500</v>
      </c>
      <c r="H18" s="251">
        <f>G17-G18</f>
        <v>-1500</v>
      </c>
      <c r="J18" s="251"/>
      <c r="K18" s="257">
        <v>2500</v>
      </c>
      <c r="L18" s="256">
        <f>K17-K18</f>
        <v>-2500</v>
      </c>
      <c r="M18" s="256"/>
    </row>
    <row r="19" spans="1:15" x14ac:dyDescent="0.25">
      <c r="A19" t="s">
        <v>493</v>
      </c>
      <c r="B19" s="251">
        <v>2</v>
      </c>
      <c r="C19" s="253" t="str">
        <f t="shared" si="1"/>
        <v>2500 - 1400 г. д.н.э. (ход 2)</v>
      </c>
      <c r="D19" s="81">
        <f>D18+G18</f>
        <v>-2500</v>
      </c>
      <c r="E19" s="251">
        <f t="shared" ref="E19:E36" si="3">E20+F19</f>
        <v>760</v>
      </c>
      <c r="F19" s="251">
        <f t="shared" si="2"/>
        <v>76</v>
      </c>
      <c r="G19" s="81">
        <v>1100</v>
      </c>
      <c r="H19" s="251">
        <f>G18-G19</f>
        <v>400</v>
      </c>
      <c r="J19" s="251"/>
      <c r="K19" s="257">
        <v>1000</v>
      </c>
      <c r="L19" s="256">
        <f>K18-K19</f>
        <v>1500</v>
      </c>
      <c r="M19" s="256"/>
      <c r="O19" s="251"/>
    </row>
    <row r="20" spans="1:15" x14ac:dyDescent="0.25">
      <c r="B20" s="251">
        <v>3</v>
      </c>
      <c r="C20" s="253" t="str">
        <f t="shared" si="1"/>
        <v>1400 - 600 г. д.н.э. (ход 3)</v>
      </c>
      <c r="D20" s="81">
        <f t="shared" ref="D20:D38" si="4">D19+G19</f>
        <v>-1400</v>
      </c>
      <c r="E20" s="251">
        <f t="shared" si="3"/>
        <v>684</v>
      </c>
      <c r="F20" s="251">
        <f t="shared" si="2"/>
        <v>72</v>
      </c>
      <c r="G20" s="81">
        <v>800</v>
      </c>
      <c r="H20" s="251">
        <f t="shared" ref="H20:H36" si="5">G19-G20</f>
        <v>300</v>
      </c>
      <c r="J20" s="251"/>
      <c r="K20" s="257">
        <v>500</v>
      </c>
      <c r="L20" s="256">
        <f t="shared" ref="L20:L36" si="6">K19-K20</f>
        <v>500</v>
      </c>
      <c r="M20" s="256"/>
      <c r="O20" s="251"/>
    </row>
    <row r="21" spans="1:15" x14ac:dyDescent="0.25">
      <c r="A21" t="s">
        <v>494</v>
      </c>
      <c r="B21" s="251">
        <v>4</v>
      </c>
      <c r="C21" s="253" t="str">
        <f t="shared" si="1"/>
        <v>600 - 0 г. д.н.э. (ход 4)</v>
      </c>
      <c r="D21" s="81">
        <f t="shared" si="4"/>
        <v>-600</v>
      </c>
      <c r="E21" s="251">
        <f t="shared" si="3"/>
        <v>612</v>
      </c>
      <c r="F21" s="251">
        <f t="shared" si="2"/>
        <v>68</v>
      </c>
      <c r="G21" s="81">
        <v>600</v>
      </c>
      <c r="H21" s="251">
        <f t="shared" si="5"/>
        <v>200</v>
      </c>
      <c r="J21" s="251"/>
      <c r="K21" s="257">
        <v>400</v>
      </c>
      <c r="L21" s="256">
        <f t="shared" si="6"/>
        <v>100</v>
      </c>
      <c r="M21" s="256"/>
      <c r="O21" s="251"/>
    </row>
    <row r="22" spans="1:15" x14ac:dyDescent="0.25">
      <c r="B22" s="251">
        <v>5</v>
      </c>
      <c r="C22" s="253" t="str">
        <f t="shared" si="1"/>
        <v>0 - 400 г.н.э (ход 5)</v>
      </c>
      <c r="D22" s="81">
        <f t="shared" si="4"/>
        <v>0</v>
      </c>
      <c r="E22" s="251">
        <f t="shared" si="3"/>
        <v>544</v>
      </c>
      <c r="F22" s="251">
        <f t="shared" si="2"/>
        <v>64</v>
      </c>
      <c r="G22" s="81">
        <v>400</v>
      </c>
      <c r="H22" s="251">
        <f t="shared" si="5"/>
        <v>200</v>
      </c>
      <c r="J22" s="251"/>
      <c r="K22" s="257">
        <v>300</v>
      </c>
      <c r="L22" s="256">
        <f t="shared" si="6"/>
        <v>100</v>
      </c>
      <c r="M22" s="256"/>
      <c r="O22" s="251"/>
    </row>
    <row r="23" spans="1:15" x14ac:dyDescent="0.25">
      <c r="A23" t="s">
        <v>495</v>
      </c>
      <c r="B23" s="251">
        <v>6</v>
      </c>
      <c r="C23" s="253" t="str">
        <f t="shared" si="1"/>
        <v>400 - 700 г.н.э (ход 6)</v>
      </c>
      <c r="D23" s="81">
        <f t="shared" si="4"/>
        <v>400</v>
      </c>
      <c r="E23" s="251">
        <f t="shared" si="3"/>
        <v>480</v>
      </c>
      <c r="F23" s="251">
        <f t="shared" si="2"/>
        <v>60</v>
      </c>
      <c r="G23" s="81">
        <v>300</v>
      </c>
      <c r="H23" s="251">
        <f t="shared" si="5"/>
        <v>100</v>
      </c>
      <c r="J23" s="251"/>
      <c r="K23" s="257">
        <v>300</v>
      </c>
      <c r="L23" s="256">
        <f t="shared" si="6"/>
        <v>0</v>
      </c>
      <c r="M23" s="256"/>
      <c r="O23" s="251"/>
    </row>
    <row r="24" spans="1:15" x14ac:dyDescent="0.25">
      <c r="B24" s="251">
        <v>7</v>
      </c>
      <c r="C24" s="253" t="str">
        <f t="shared" si="1"/>
        <v>700 - 1000 г.н.э (ход 7)</v>
      </c>
      <c r="D24" s="81">
        <f t="shared" si="4"/>
        <v>700</v>
      </c>
      <c r="E24" s="251">
        <f t="shared" si="3"/>
        <v>420</v>
      </c>
      <c r="F24" s="251">
        <f t="shared" si="2"/>
        <v>56</v>
      </c>
      <c r="G24" s="81">
        <v>300</v>
      </c>
      <c r="H24" s="251">
        <f t="shared" si="5"/>
        <v>0</v>
      </c>
      <c r="J24" s="251"/>
      <c r="K24" s="257">
        <v>250</v>
      </c>
      <c r="L24" s="256">
        <f t="shared" si="6"/>
        <v>50</v>
      </c>
      <c r="M24" s="256"/>
      <c r="O24" s="251"/>
    </row>
    <row r="25" spans="1:15" x14ac:dyDescent="0.25">
      <c r="A25" t="s">
        <v>496</v>
      </c>
      <c r="B25" s="251">
        <v>8</v>
      </c>
      <c r="C25" s="253" t="str">
        <f t="shared" si="1"/>
        <v>1000 - 1200 г.н.э (ход 8)</v>
      </c>
      <c r="D25" s="81">
        <f t="shared" si="4"/>
        <v>1000</v>
      </c>
      <c r="E25" s="251">
        <f t="shared" si="3"/>
        <v>364</v>
      </c>
      <c r="F25" s="251">
        <f t="shared" si="2"/>
        <v>52</v>
      </c>
      <c r="G25" s="81">
        <v>200</v>
      </c>
      <c r="H25" s="251">
        <f t="shared" si="5"/>
        <v>100</v>
      </c>
      <c r="J25" s="251"/>
      <c r="K25" s="257">
        <v>200</v>
      </c>
      <c r="L25" s="256">
        <f t="shared" si="6"/>
        <v>50</v>
      </c>
      <c r="M25" s="256"/>
      <c r="O25" s="251"/>
    </row>
    <row r="26" spans="1:15" x14ac:dyDescent="0.25">
      <c r="B26" s="251">
        <v>9</v>
      </c>
      <c r="C26" s="253" t="str">
        <f t="shared" si="1"/>
        <v>1200 - 1400 г.н.э (ход 9)</v>
      </c>
      <c r="D26" s="81">
        <f t="shared" si="4"/>
        <v>1200</v>
      </c>
      <c r="E26" s="251">
        <f t="shared" si="3"/>
        <v>312</v>
      </c>
      <c r="F26" s="251">
        <f t="shared" si="2"/>
        <v>48</v>
      </c>
      <c r="G26" s="81">
        <v>200</v>
      </c>
      <c r="H26" s="251">
        <f t="shared" si="5"/>
        <v>0</v>
      </c>
      <c r="J26" s="251"/>
      <c r="K26" s="257">
        <v>150</v>
      </c>
      <c r="L26" s="256">
        <f t="shared" si="6"/>
        <v>50</v>
      </c>
      <c r="M26" s="256"/>
      <c r="O26" s="251"/>
    </row>
    <row r="27" spans="1:15" x14ac:dyDescent="0.25">
      <c r="A27" t="s">
        <v>497</v>
      </c>
      <c r="B27" s="251">
        <v>10</v>
      </c>
      <c r="C27" s="253" t="str">
        <f t="shared" si="1"/>
        <v>1400 - 1550 г.н.э (ход 10)</v>
      </c>
      <c r="D27" s="81">
        <f t="shared" si="4"/>
        <v>1400</v>
      </c>
      <c r="E27" s="251">
        <f t="shared" si="3"/>
        <v>264</v>
      </c>
      <c r="F27" s="251">
        <f t="shared" si="2"/>
        <v>44</v>
      </c>
      <c r="G27" s="81">
        <v>150</v>
      </c>
      <c r="H27" s="251">
        <f t="shared" si="5"/>
        <v>50</v>
      </c>
      <c r="J27" s="251"/>
      <c r="K27" s="257">
        <v>110</v>
      </c>
      <c r="L27" s="256">
        <f t="shared" si="6"/>
        <v>40</v>
      </c>
      <c r="M27" s="256"/>
      <c r="O27" s="251"/>
    </row>
    <row r="28" spans="1:15" x14ac:dyDescent="0.25">
      <c r="B28" s="251">
        <v>11</v>
      </c>
      <c r="C28" s="253" t="str">
        <f t="shared" si="1"/>
        <v>1550 - 1700 г.н.э (ход 11)</v>
      </c>
      <c r="D28" s="81">
        <f t="shared" si="4"/>
        <v>1550</v>
      </c>
      <c r="E28" s="251">
        <f t="shared" si="3"/>
        <v>220</v>
      </c>
      <c r="F28" s="251">
        <f t="shared" si="2"/>
        <v>40</v>
      </c>
      <c r="G28" s="81">
        <v>150</v>
      </c>
      <c r="H28" s="251">
        <f t="shared" si="5"/>
        <v>0</v>
      </c>
      <c r="J28" s="251"/>
      <c r="K28" s="257">
        <v>80</v>
      </c>
      <c r="L28" s="256">
        <f t="shared" si="6"/>
        <v>30</v>
      </c>
      <c r="M28" s="256"/>
      <c r="O28" s="251"/>
    </row>
    <row r="29" spans="1:15" x14ac:dyDescent="0.25">
      <c r="A29" t="s">
        <v>498</v>
      </c>
      <c r="B29" s="251">
        <v>12</v>
      </c>
      <c r="C29" s="253" t="str">
        <f t="shared" si="1"/>
        <v>1700 - 1780 г.н.э (ход 12)</v>
      </c>
      <c r="D29" s="81">
        <f t="shared" si="4"/>
        <v>1700</v>
      </c>
      <c r="E29" s="251">
        <f t="shared" si="3"/>
        <v>180</v>
      </c>
      <c r="F29" s="251">
        <f t="shared" si="2"/>
        <v>36</v>
      </c>
      <c r="G29" s="81">
        <v>80</v>
      </c>
      <c r="H29" s="251">
        <f t="shared" si="5"/>
        <v>70</v>
      </c>
      <c r="J29" s="251"/>
      <c r="K29" s="257">
        <v>60</v>
      </c>
      <c r="L29" s="256">
        <f t="shared" si="6"/>
        <v>20</v>
      </c>
      <c r="M29" s="256"/>
      <c r="O29" s="251"/>
    </row>
    <row r="30" spans="1:15" x14ac:dyDescent="0.25">
      <c r="B30" s="251">
        <v>13</v>
      </c>
      <c r="C30" s="253" t="str">
        <f t="shared" si="1"/>
        <v>1780 - 1860 г.н.э (ход 13)</v>
      </c>
      <c r="D30" s="81">
        <f t="shared" si="4"/>
        <v>1780</v>
      </c>
      <c r="E30" s="251">
        <f t="shared" si="3"/>
        <v>144</v>
      </c>
      <c r="F30" s="251">
        <f t="shared" si="2"/>
        <v>32</v>
      </c>
      <c r="G30" s="81">
        <v>80</v>
      </c>
      <c r="H30" s="251">
        <f t="shared" si="5"/>
        <v>0</v>
      </c>
      <c r="J30" s="251"/>
      <c r="K30" s="257">
        <v>50</v>
      </c>
      <c r="L30" s="256">
        <f t="shared" si="6"/>
        <v>10</v>
      </c>
      <c r="M30" s="256"/>
      <c r="O30" s="251"/>
    </row>
    <row r="31" spans="1:15" x14ac:dyDescent="0.25">
      <c r="A31" t="s">
        <v>499</v>
      </c>
      <c r="B31" s="251">
        <v>14</v>
      </c>
      <c r="C31" s="253" t="str">
        <f t="shared" si="1"/>
        <v>1860 - 1900 г.н.э (ход 14)</v>
      </c>
      <c r="D31" s="81">
        <f t="shared" si="4"/>
        <v>1860</v>
      </c>
      <c r="E31" s="251">
        <f t="shared" si="3"/>
        <v>112</v>
      </c>
      <c r="F31" s="251">
        <f t="shared" si="2"/>
        <v>28</v>
      </c>
      <c r="G31" s="81">
        <v>40</v>
      </c>
      <c r="H31" s="251">
        <f t="shared" si="5"/>
        <v>40</v>
      </c>
      <c r="J31" s="251"/>
      <c r="K31" s="257">
        <v>40</v>
      </c>
      <c r="L31" s="256">
        <f t="shared" si="6"/>
        <v>10</v>
      </c>
      <c r="M31" s="256"/>
      <c r="O31" s="251"/>
    </row>
    <row r="32" spans="1:15" x14ac:dyDescent="0.25">
      <c r="B32" s="251">
        <v>15</v>
      </c>
      <c r="C32" s="253" t="str">
        <f t="shared" si="1"/>
        <v>1900 - 1940 г.н.э (ход 15)</v>
      </c>
      <c r="D32" s="81">
        <f t="shared" si="4"/>
        <v>1900</v>
      </c>
      <c r="E32" s="251">
        <f t="shared" si="3"/>
        <v>84</v>
      </c>
      <c r="F32" s="251">
        <f t="shared" si="2"/>
        <v>24</v>
      </c>
      <c r="G32" s="81">
        <v>40</v>
      </c>
      <c r="H32" s="251">
        <f t="shared" si="5"/>
        <v>0</v>
      </c>
      <c r="J32" s="251"/>
      <c r="K32" s="257">
        <v>30</v>
      </c>
      <c r="L32" s="256">
        <f t="shared" si="6"/>
        <v>10</v>
      </c>
      <c r="M32" s="256"/>
      <c r="O32" s="251"/>
    </row>
    <row r="33" spans="1:17" x14ac:dyDescent="0.25">
      <c r="A33" t="s">
        <v>500</v>
      </c>
      <c r="B33" s="251">
        <v>16</v>
      </c>
      <c r="C33" s="253" t="str">
        <f t="shared" si="1"/>
        <v>1940 - 1970 г.н.э (ход 16)</v>
      </c>
      <c r="D33" s="81">
        <f t="shared" si="4"/>
        <v>1940</v>
      </c>
      <c r="E33" s="251">
        <f t="shared" si="3"/>
        <v>60</v>
      </c>
      <c r="F33" s="251">
        <f t="shared" si="2"/>
        <v>20</v>
      </c>
      <c r="G33" s="81">
        <v>30</v>
      </c>
      <c r="H33" s="251">
        <f t="shared" si="5"/>
        <v>10</v>
      </c>
      <c r="J33" s="251"/>
      <c r="K33" s="257">
        <v>20</v>
      </c>
      <c r="L33" s="256">
        <f t="shared" si="6"/>
        <v>10</v>
      </c>
      <c r="M33" s="256"/>
      <c r="O33" s="251"/>
    </row>
    <row r="34" spans="1:17" x14ac:dyDescent="0.25">
      <c r="B34" s="251">
        <v>17</v>
      </c>
      <c r="C34" s="253" t="str">
        <f t="shared" si="1"/>
        <v>1970 - 1990 г.н.э (ход 17)</v>
      </c>
      <c r="D34" s="81">
        <f t="shared" si="4"/>
        <v>1970</v>
      </c>
      <c r="E34" s="251">
        <f t="shared" si="3"/>
        <v>40</v>
      </c>
      <c r="F34" s="251">
        <f t="shared" si="2"/>
        <v>16</v>
      </c>
      <c r="G34" s="81">
        <v>20</v>
      </c>
      <c r="H34" s="251">
        <f t="shared" si="5"/>
        <v>10</v>
      </c>
      <c r="J34" s="251"/>
      <c r="K34" s="257">
        <v>10</v>
      </c>
      <c r="L34" s="256">
        <f t="shared" si="6"/>
        <v>10</v>
      </c>
      <c r="M34" s="256"/>
      <c r="O34" s="251"/>
    </row>
    <row r="35" spans="1:17" x14ac:dyDescent="0.25">
      <c r="A35" t="s">
        <v>501</v>
      </c>
      <c r="B35" s="251">
        <v>18</v>
      </c>
      <c r="C35" s="253" t="str">
        <f t="shared" si="1"/>
        <v>1990 - 2000 г.н.э (ход 18)</v>
      </c>
      <c r="D35" s="81">
        <f t="shared" si="4"/>
        <v>1990</v>
      </c>
      <c r="E35" s="251">
        <f t="shared" si="3"/>
        <v>24</v>
      </c>
      <c r="F35" s="251">
        <f t="shared" si="2"/>
        <v>12</v>
      </c>
      <c r="G35" s="81">
        <v>10</v>
      </c>
      <c r="H35" s="251">
        <f t="shared" si="5"/>
        <v>10</v>
      </c>
      <c r="J35" s="251"/>
      <c r="K35" s="257">
        <v>5</v>
      </c>
      <c r="L35" s="256">
        <f t="shared" si="6"/>
        <v>5</v>
      </c>
      <c r="M35" s="256"/>
      <c r="O35" s="251"/>
    </row>
    <row r="36" spans="1:17" x14ac:dyDescent="0.25">
      <c r="B36" s="251">
        <v>19</v>
      </c>
      <c r="C36" s="253" t="str">
        <f t="shared" si="1"/>
        <v>2000 - 2010 г.н.э (ход 19)</v>
      </c>
      <c r="D36" s="81">
        <f t="shared" si="4"/>
        <v>2000</v>
      </c>
      <c r="E36" s="251">
        <f t="shared" si="3"/>
        <v>12</v>
      </c>
      <c r="F36" s="251">
        <f t="shared" si="2"/>
        <v>8</v>
      </c>
      <c r="G36" s="81">
        <v>10</v>
      </c>
      <c r="H36" s="251">
        <f t="shared" si="5"/>
        <v>0</v>
      </c>
      <c r="J36" s="251"/>
      <c r="K36" s="257">
        <v>5</v>
      </c>
      <c r="L36" s="256">
        <f t="shared" si="6"/>
        <v>0</v>
      </c>
      <c r="M36" s="256"/>
      <c r="O36" s="251"/>
    </row>
    <row r="37" spans="1:17" x14ac:dyDescent="0.25">
      <c r="B37">
        <v>20</v>
      </c>
      <c r="C37" s="253" t="str">
        <f t="shared" si="1"/>
        <v>2010 - 2020 г.н.э (ход 20)</v>
      </c>
      <c r="D37" s="81">
        <f t="shared" si="4"/>
        <v>2010</v>
      </c>
      <c r="E37" s="251">
        <f>H38+F37</f>
        <v>4</v>
      </c>
      <c r="F37" s="251">
        <v>4</v>
      </c>
      <c r="G37" s="81">
        <v>10</v>
      </c>
      <c r="H37" s="251"/>
      <c r="J37" s="251"/>
      <c r="O37" s="251"/>
    </row>
    <row r="38" spans="1:17" x14ac:dyDescent="0.25">
      <c r="D38" s="81">
        <f t="shared" si="4"/>
        <v>2020</v>
      </c>
      <c r="F38" s="251" t="str">
        <f>IF(C38&lt;&gt;"",C38+4000-E38/#REF!,"")</f>
        <v/>
      </c>
      <c r="K38" s="251"/>
      <c r="L38" s="86"/>
      <c r="M38" s="86"/>
      <c r="O38" s="86"/>
      <c r="Q38" s="86"/>
    </row>
    <row r="40" spans="1:17" x14ac:dyDescent="0.25">
      <c r="E40" s="86">
        <v>3</v>
      </c>
      <c r="F40">
        <v>0</v>
      </c>
      <c r="G40" s="86">
        <v>10</v>
      </c>
      <c r="H40">
        <v>10</v>
      </c>
    </row>
    <row r="41" spans="1:17" x14ac:dyDescent="0.25">
      <c r="F41">
        <v>1</v>
      </c>
      <c r="G41" s="86">
        <f>G40*$E$40</f>
        <v>30</v>
      </c>
      <c r="H41">
        <v>30</v>
      </c>
    </row>
    <row r="42" spans="1:17" x14ac:dyDescent="0.25">
      <c r="C42" s="262">
        <v>42826.353472222225</v>
      </c>
      <c r="F42">
        <v>2</v>
      </c>
      <c r="G42" s="86">
        <f t="shared" ref="G42:G47" si="7">G41*$E$40</f>
        <v>90</v>
      </c>
      <c r="H42">
        <v>100</v>
      </c>
    </row>
    <row r="43" spans="1:17" x14ac:dyDescent="0.25">
      <c r="C43" s="262">
        <v>42829.099305555559</v>
      </c>
      <c r="F43" s="258">
        <v>3</v>
      </c>
      <c r="G43" s="86">
        <f t="shared" si="7"/>
        <v>270</v>
      </c>
      <c r="H43">
        <v>300</v>
      </c>
    </row>
    <row r="44" spans="1:17" x14ac:dyDescent="0.25">
      <c r="C44" s="263">
        <f>C43-C42</f>
        <v>2.7458333333343035</v>
      </c>
      <c r="F44" s="258">
        <v>4</v>
      </c>
      <c r="G44" s="86">
        <f t="shared" si="7"/>
        <v>810</v>
      </c>
      <c r="H44">
        <v>1000</v>
      </c>
    </row>
    <row r="45" spans="1:17" x14ac:dyDescent="0.25">
      <c r="C45" s="263">
        <f>48+C44</f>
        <v>50.745833333334303</v>
      </c>
      <c r="F45" s="258">
        <v>5</v>
      </c>
      <c r="G45" s="86">
        <f t="shared" si="7"/>
        <v>2430</v>
      </c>
      <c r="H45">
        <v>3000</v>
      </c>
    </row>
    <row r="46" spans="1:17" x14ac:dyDescent="0.25">
      <c r="F46" s="258">
        <v>6</v>
      </c>
      <c r="G46" s="86">
        <f t="shared" si="7"/>
        <v>7290</v>
      </c>
      <c r="H46">
        <v>10000</v>
      </c>
    </row>
    <row r="47" spans="1:17" x14ac:dyDescent="0.25">
      <c r="C47" s="86">
        <f>48+18</f>
        <v>66</v>
      </c>
      <c r="F47">
        <v>7</v>
      </c>
      <c r="G47" s="86">
        <f t="shared" si="7"/>
        <v>21870</v>
      </c>
      <c r="H47" s="270">
        <v>30000</v>
      </c>
    </row>
  </sheetData>
  <mergeCells count="5">
    <mergeCell ref="D2:E2"/>
    <mergeCell ref="F2:G2"/>
    <mergeCell ref="H2:I2"/>
    <mergeCell ref="J2:K2"/>
    <mergeCell ref="B2:C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" workbookViewId="0">
      <selection activeCell="E26" sqref="E26"/>
    </sheetView>
  </sheetViews>
  <sheetFormatPr defaultRowHeight="15" x14ac:dyDescent="0.25"/>
  <cols>
    <col min="1" max="1" width="62.5703125" customWidth="1"/>
  </cols>
  <sheetData>
    <row r="1" spans="1:3" x14ac:dyDescent="0.25">
      <c r="A1" s="236" t="s">
        <v>411</v>
      </c>
    </row>
    <row r="2" spans="1:3" x14ac:dyDescent="0.25">
      <c r="A2" s="236" t="s">
        <v>412</v>
      </c>
    </row>
    <row r="3" spans="1:3" x14ac:dyDescent="0.25">
      <c r="A3" s="237" t="s">
        <v>413</v>
      </c>
    </row>
    <row r="4" spans="1:3" x14ac:dyDescent="0.25">
      <c r="A4" s="236" t="s">
        <v>414</v>
      </c>
      <c r="B4">
        <v>1</v>
      </c>
      <c r="C4" s="81">
        <f ca="1">INT(RAND()*10)</f>
        <v>0</v>
      </c>
    </row>
    <row r="5" spans="1:3" x14ac:dyDescent="0.25">
      <c r="A5" s="236" t="s">
        <v>415</v>
      </c>
      <c r="B5">
        <v>2</v>
      </c>
      <c r="C5" s="81">
        <f ca="1">INT(RAND()*10)</f>
        <v>5</v>
      </c>
    </row>
    <row r="6" spans="1:3" x14ac:dyDescent="0.25">
      <c r="A6" s="236" t="s">
        <v>416</v>
      </c>
      <c r="B6">
        <v>3</v>
      </c>
      <c r="C6" s="81">
        <v>7</v>
      </c>
    </row>
    <row r="7" spans="1:3" x14ac:dyDescent="0.25">
      <c r="A7" s="236" t="s">
        <v>417</v>
      </c>
      <c r="B7">
        <v>4</v>
      </c>
      <c r="C7" s="81">
        <f t="shared" ref="C7:C16" ca="1" si="0">INT(RAND()*10)</f>
        <v>1</v>
      </c>
    </row>
    <row r="8" spans="1:3" x14ac:dyDescent="0.25">
      <c r="A8" s="236" t="s">
        <v>418</v>
      </c>
      <c r="B8">
        <v>5</v>
      </c>
      <c r="C8" s="81">
        <f t="shared" ca="1" si="0"/>
        <v>6</v>
      </c>
    </row>
    <row r="9" spans="1:3" x14ac:dyDescent="0.25">
      <c r="A9" s="236" t="s">
        <v>419</v>
      </c>
      <c r="B9">
        <v>6</v>
      </c>
      <c r="C9" s="81">
        <f t="shared" ca="1" si="0"/>
        <v>5</v>
      </c>
    </row>
    <row r="10" spans="1:3" x14ac:dyDescent="0.25">
      <c r="A10" s="236" t="s">
        <v>420</v>
      </c>
      <c r="B10">
        <v>7</v>
      </c>
      <c r="C10" s="81">
        <f t="shared" ca="1" si="0"/>
        <v>6</v>
      </c>
    </row>
    <row r="11" spans="1:3" x14ac:dyDescent="0.25">
      <c r="A11" s="236" t="s">
        <v>421</v>
      </c>
      <c r="B11">
        <v>8</v>
      </c>
      <c r="C11" s="81">
        <f t="shared" ca="1" si="0"/>
        <v>4</v>
      </c>
    </row>
    <row r="12" spans="1:3" x14ac:dyDescent="0.25">
      <c r="A12" s="236" t="s">
        <v>422</v>
      </c>
      <c r="B12">
        <v>9</v>
      </c>
      <c r="C12" s="81">
        <f t="shared" ca="1" si="0"/>
        <v>6</v>
      </c>
    </row>
    <row r="13" spans="1:3" x14ac:dyDescent="0.25">
      <c r="A13" s="236" t="s">
        <v>423</v>
      </c>
      <c r="B13">
        <v>10</v>
      </c>
      <c r="C13" s="81">
        <f t="shared" ca="1" si="0"/>
        <v>1</v>
      </c>
    </row>
    <row r="14" spans="1:3" x14ac:dyDescent="0.25">
      <c r="A14" s="236" t="s">
        <v>424</v>
      </c>
      <c r="B14">
        <v>11</v>
      </c>
      <c r="C14" s="81">
        <f t="shared" ca="1" si="0"/>
        <v>1</v>
      </c>
    </row>
    <row r="15" spans="1:3" x14ac:dyDescent="0.25">
      <c r="A15" s="236" t="s">
        <v>425</v>
      </c>
      <c r="B15">
        <v>12</v>
      </c>
      <c r="C15" s="81">
        <f t="shared" ca="1" si="0"/>
        <v>9</v>
      </c>
    </row>
    <row r="16" spans="1:3" x14ac:dyDescent="0.25">
      <c r="A16" s="236" t="s">
        <v>426</v>
      </c>
      <c r="B16">
        <v>13</v>
      </c>
      <c r="C16" s="81">
        <f t="shared" ca="1" si="0"/>
        <v>6</v>
      </c>
    </row>
    <row r="17" spans="1:5" x14ac:dyDescent="0.25">
      <c r="A17" s="236" t="s">
        <v>427</v>
      </c>
    </row>
    <row r="18" spans="1:5" x14ac:dyDescent="0.25">
      <c r="A18" s="236" t="s">
        <v>428</v>
      </c>
      <c r="C18" s="81">
        <f ca="1">SUM(C4:C15)</f>
        <v>51</v>
      </c>
    </row>
    <row r="19" spans="1:5" x14ac:dyDescent="0.25">
      <c r="A19" s="236" t="s">
        <v>429</v>
      </c>
    </row>
    <row r="20" spans="1:5" x14ac:dyDescent="0.25">
      <c r="A20" s="236" t="s">
        <v>430</v>
      </c>
      <c r="B20">
        <v>14</v>
      </c>
      <c r="C20" s="81">
        <f ca="1">(C18/10-INT(C18/10))*10</f>
        <v>0.99999999999999645</v>
      </c>
    </row>
    <row r="21" spans="1:5" x14ac:dyDescent="0.25">
      <c r="A21" s="236" t="s">
        <v>431</v>
      </c>
      <c r="B21">
        <v>15</v>
      </c>
      <c r="C21">
        <f ca="1">INT(C18/10)</f>
        <v>5</v>
      </c>
      <c r="E21">
        <f ca="1">C20+C18</f>
        <v>52</v>
      </c>
    </row>
    <row r="22" spans="1:5" x14ac:dyDescent="0.25">
      <c r="A22" s="236" t="s">
        <v>432</v>
      </c>
      <c r="B22">
        <v>16</v>
      </c>
      <c r="C22">
        <f ca="1">E21-INT(E21/10)</f>
        <v>47</v>
      </c>
    </row>
    <row r="23" spans="1:5" x14ac:dyDescent="0.25">
      <c r="A23" s="236" t="s">
        <v>433</v>
      </c>
    </row>
    <row r="24" spans="1:5" x14ac:dyDescent="0.25">
      <c r="A24" s="236" t="s">
        <v>434</v>
      </c>
      <c r="B24" t="s">
        <v>444</v>
      </c>
      <c r="C24">
        <f ca="1">C6*1000+C8*100+C11*10+C16</f>
        <v>7646</v>
      </c>
    </row>
    <row r="25" spans="1:5" x14ac:dyDescent="0.25">
      <c r="A25" s="236" t="s">
        <v>435</v>
      </c>
    </row>
    <row r="26" spans="1:5" x14ac:dyDescent="0.25">
      <c r="A26" s="236" t="s">
        <v>436</v>
      </c>
    </row>
    <row r="27" spans="1:5" x14ac:dyDescent="0.25">
      <c r="A27" s="236" t="s">
        <v>437</v>
      </c>
    </row>
    <row r="28" spans="1:5" x14ac:dyDescent="0.25">
      <c r="A28" s="236" t="s">
        <v>438</v>
      </c>
      <c r="C28" t="str">
        <f ca="1">C4&amp;C5&amp;C6&amp;C7</f>
        <v>0571</v>
      </c>
    </row>
    <row r="29" spans="1:5" x14ac:dyDescent="0.25">
      <c r="A29" s="236" t="s">
        <v>439</v>
      </c>
      <c r="C29" t="str">
        <f ca="1">C28&amp;C8&amp;C9&amp;C10&amp;C11</f>
        <v>05716564</v>
      </c>
    </row>
    <row r="30" spans="1:5" x14ac:dyDescent="0.25">
      <c r="A30" s="236" t="s">
        <v>440</v>
      </c>
      <c r="C30" t="str">
        <f ca="1">C29&amp;C12&amp;C13&amp;C14&amp;C15</f>
        <v>057165646119</v>
      </c>
    </row>
    <row r="31" spans="1:5" x14ac:dyDescent="0.25">
      <c r="A31" s="236" t="s">
        <v>441</v>
      </c>
      <c r="C31" t="str">
        <f ca="1">C30&amp;C16&amp;C20&amp;(C18+C20)</f>
        <v>05716564611960,99999999999999652</v>
      </c>
    </row>
    <row r="32" spans="1:5" x14ac:dyDescent="0.25">
      <c r="A32" s="236" t="s">
        <v>442</v>
      </c>
    </row>
    <row r="33" spans="1:1" x14ac:dyDescent="0.25">
      <c r="A33" s="237" t="s">
        <v>443</v>
      </c>
    </row>
    <row r="34" spans="1:1" x14ac:dyDescent="0.25">
      <c r="A34" s="238" t="s">
        <v>445</v>
      </c>
    </row>
    <row r="35" spans="1:1" x14ac:dyDescent="0.25">
      <c r="A35" s="239" t="s">
        <v>446</v>
      </c>
    </row>
    <row r="36" spans="1:1" x14ac:dyDescent="0.25">
      <c r="A36" s="239" t="s">
        <v>447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Реп2</vt:lpstr>
      <vt:lpstr>Нации</vt:lpstr>
      <vt:lpstr>Армии</vt:lpstr>
      <vt:lpstr>Города</vt:lpstr>
      <vt:lpstr>Наука</vt:lpstr>
      <vt:lpstr>Чудеса</vt:lpstr>
      <vt:lpstr>База</vt:lpstr>
      <vt:lpstr>Лист1</vt:lpstr>
      <vt:lpstr>Лист2</vt:lpstr>
      <vt:lpstr>Нации</vt:lpstr>
      <vt:lpstr>ФормыП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2017-05-03T15:57:10Z</dcterms:modified>
</cp:coreProperties>
</file>